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10" windowWidth="14810" windowHeight="8010"/>
  </bookViews>
  <sheets>
    <sheet name="INTRO" sheetId="5" r:id="rId1"/>
    <sheet name="Pred Prod" sheetId="2" r:id="rId2"/>
    <sheet name="Elec &amp; Gas Data" sheetId="4" r:id="rId3"/>
    <sheet name="Prod &amp; Usage Graphs" sheetId="1" r:id="rId4"/>
    <sheet name="Utility Graphs" sheetId="8" r:id="rId5"/>
    <sheet name="Annual Graphs" sheetId="9" r:id="rId6"/>
    <sheet name="Cost &amp; Payback" sheetId="3" r:id="rId7"/>
  </sheets>
  <calcPr calcId="125725"/>
</workbook>
</file>

<file path=xl/calcChain.xml><?xml version="1.0" encoding="utf-8"?>
<calcChain xmlns="http://schemas.openxmlformats.org/spreadsheetml/2006/main">
  <c r="O89" i="4"/>
  <c r="I89"/>
  <c r="C89"/>
  <c r="J26" i="3"/>
  <c r="M26"/>
  <c r="I26"/>
  <c r="H24"/>
  <c r="H26"/>
  <c r="G26"/>
  <c r="E26"/>
  <c r="U26"/>
  <c r="J87" i="4"/>
  <c r="J45"/>
  <c r="O45" s="1"/>
  <c r="J46"/>
  <c r="O46" s="1"/>
  <c r="J44"/>
  <c r="O44" s="1"/>
  <c r="J43"/>
  <c r="O43" s="1"/>
  <c r="J42"/>
  <c r="O42" s="1"/>
  <c r="J41"/>
  <c r="O41" s="1"/>
  <c r="J40"/>
  <c r="O40" s="1"/>
  <c r="J39"/>
  <c r="O39" s="1"/>
  <c r="J38"/>
  <c r="J37"/>
  <c r="J36"/>
  <c r="J35"/>
  <c r="W45"/>
  <c r="O38"/>
  <c r="O37"/>
  <c r="O36"/>
  <c r="O35"/>
  <c r="E48"/>
  <c r="G48"/>
  <c r="Q47"/>
  <c r="A47"/>
  <c r="Q34"/>
  <c r="P34"/>
  <c r="O34"/>
  <c r="N34"/>
  <c r="M34"/>
  <c r="L34"/>
  <c r="I34"/>
  <c r="H34"/>
  <c r="G34"/>
  <c r="F34"/>
  <c r="E34"/>
  <c r="D34"/>
  <c r="C34"/>
  <c r="B34"/>
  <c r="A34"/>
  <c r="P33"/>
  <c r="N33"/>
  <c r="M33"/>
  <c r="L33"/>
  <c r="I33"/>
  <c r="H33"/>
  <c r="G33"/>
  <c r="E33"/>
  <c r="D33"/>
  <c r="C33"/>
  <c r="B33"/>
  <c r="P32"/>
  <c r="L32"/>
  <c r="B32"/>
  <c r="G32"/>
  <c r="H32"/>
  <c r="R43" i="3"/>
  <c r="R44" s="1"/>
  <c r="G47" i="4"/>
  <c r="G67"/>
  <c r="M46"/>
  <c r="M45"/>
  <c r="M44"/>
  <c r="M43"/>
  <c r="M42"/>
  <c r="M41"/>
  <c r="M40"/>
  <c r="M39"/>
  <c r="M38"/>
  <c r="M37"/>
  <c r="M36"/>
  <c r="M35"/>
  <c r="L46"/>
  <c r="L45"/>
  <c r="L44"/>
  <c r="L43"/>
  <c r="L42"/>
  <c r="N42" s="1"/>
  <c r="L41"/>
  <c r="L40"/>
  <c r="L39"/>
  <c r="L38"/>
  <c r="L37"/>
  <c r="L36"/>
  <c r="N36" s="1"/>
  <c r="L35"/>
  <c r="H48"/>
  <c r="G68"/>
  <c r="H47"/>
  <c r="G46"/>
  <c r="G45"/>
  <c r="G44"/>
  <c r="G43"/>
  <c r="G42"/>
  <c r="G41"/>
  <c r="G40"/>
  <c r="G39"/>
  <c r="G38"/>
  <c r="G37"/>
  <c r="G36"/>
  <c r="G35"/>
  <c r="G55"/>
  <c r="K47"/>
  <c r="Q67"/>
  <c r="Q46"/>
  <c r="Q45"/>
  <c r="Q44"/>
  <c r="Q43"/>
  <c r="Q42"/>
  <c r="Q41"/>
  <c r="Q40"/>
  <c r="Q39"/>
  <c r="Q38"/>
  <c r="Q35"/>
  <c r="Q66"/>
  <c r="Q65"/>
  <c r="Q64"/>
  <c r="Q63"/>
  <c r="Q62"/>
  <c r="Q61"/>
  <c r="Q60"/>
  <c r="Q59"/>
  <c r="Q58"/>
  <c r="Q57"/>
  <c r="Q56"/>
  <c r="Q55"/>
  <c r="L66"/>
  <c r="L65"/>
  <c r="L64"/>
  <c r="L63"/>
  <c r="M66"/>
  <c r="M65"/>
  <c r="M64"/>
  <c r="M63"/>
  <c r="R45" i="3" l="1"/>
  <c r="N46" i="4"/>
  <c r="N35"/>
  <c r="N37"/>
  <c r="N45"/>
  <c r="N39"/>
  <c r="N40"/>
  <c r="N44"/>
  <c r="N41"/>
  <c r="N38"/>
  <c r="M67"/>
  <c r="N43"/>
  <c r="O47"/>
  <c r="M47"/>
  <c r="J47"/>
  <c r="L47"/>
  <c r="N66"/>
  <c r="N64"/>
  <c r="N65"/>
  <c r="N63"/>
  <c r="L67"/>
  <c r="U16" i="3"/>
  <c r="A17"/>
  <c r="R17"/>
  <c r="A36" s="1"/>
  <c r="Q17"/>
  <c r="V17"/>
  <c r="T17"/>
  <c r="S17"/>
  <c r="C26" i="4" l="1"/>
  <c r="N47"/>
  <c r="B26"/>
  <c r="N67"/>
  <c r="R58" i="3"/>
  <c r="R72"/>
  <c r="R66"/>
  <c r="R65"/>
  <c r="R64"/>
  <c r="R57"/>
  <c r="R56"/>
  <c r="R51"/>
  <c r="R55"/>
  <c r="R71"/>
  <c r="R54"/>
  <c r="R70"/>
  <c r="R53"/>
  <c r="R69"/>
  <c r="R52"/>
  <c r="R68"/>
  <c r="R67"/>
  <c r="R50"/>
  <c r="R49"/>
  <c r="R48"/>
  <c r="R47"/>
  <c r="R63"/>
  <c r="R46"/>
  <c r="R62"/>
  <c r="R61"/>
  <c r="R60"/>
  <c r="R59"/>
  <c r="B17"/>
  <c r="U28"/>
  <c r="U27"/>
  <c r="U25"/>
  <c r="U24"/>
  <c r="U23"/>
  <c r="U22"/>
  <c r="U21"/>
  <c r="U20"/>
  <c r="U17" s="1"/>
  <c r="U19"/>
  <c r="C17"/>
  <c r="M20"/>
  <c r="H20"/>
  <c r="E20"/>
  <c r="G20" s="1"/>
  <c r="I20" s="1"/>
  <c r="N72"/>
  <c r="N71"/>
  <c r="N70"/>
  <c r="N69"/>
  <c r="N68"/>
  <c r="K46" i="2"/>
  <c r="K45"/>
  <c r="K44"/>
  <c r="K43"/>
  <c r="K42"/>
  <c r="K41"/>
  <c r="K40"/>
  <c r="K39"/>
  <c r="K38"/>
  <c r="K37"/>
  <c r="K36"/>
  <c r="K35"/>
  <c r="K34"/>
  <c r="J46"/>
  <c r="J45"/>
  <c r="J44"/>
  <c r="J43"/>
  <c r="J42"/>
  <c r="J41"/>
  <c r="J40"/>
  <c r="J39"/>
  <c r="J38"/>
  <c r="J37"/>
  <c r="J36"/>
  <c r="J35"/>
  <c r="J34"/>
  <c r="I46"/>
  <c r="I45"/>
  <c r="I44"/>
  <c r="I43"/>
  <c r="I42"/>
  <c r="I41"/>
  <c r="I40"/>
  <c r="I39"/>
  <c r="I38"/>
  <c r="I37"/>
  <c r="I36"/>
  <c r="I35"/>
  <c r="I34"/>
  <c r="H46"/>
  <c r="H45"/>
  <c r="H44"/>
  <c r="H43"/>
  <c r="H42"/>
  <c r="H41"/>
  <c r="H40"/>
  <c r="H39"/>
  <c r="H38"/>
  <c r="H37"/>
  <c r="H36"/>
  <c r="H35"/>
  <c r="H34"/>
  <c r="G46"/>
  <c r="G45"/>
  <c r="G44"/>
  <c r="G43"/>
  <c r="G42"/>
  <c r="G41"/>
  <c r="G40"/>
  <c r="G39"/>
  <c r="G38"/>
  <c r="G37"/>
  <c r="G36"/>
  <c r="G35"/>
  <c r="G34"/>
  <c r="F46"/>
  <c r="F45"/>
  <c r="F44"/>
  <c r="F43"/>
  <c r="F42"/>
  <c r="F41"/>
  <c r="F40"/>
  <c r="F39"/>
  <c r="F38"/>
  <c r="F37"/>
  <c r="F36"/>
  <c r="F35"/>
  <c r="F34"/>
  <c r="E45"/>
  <c r="E44"/>
  <c r="E43"/>
  <c r="E42"/>
  <c r="E41"/>
  <c r="E40"/>
  <c r="E39"/>
  <c r="E38"/>
  <c r="E37"/>
  <c r="E36"/>
  <c r="E35"/>
  <c r="E34"/>
  <c r="D39"/>
  <c r="D45"/>
  <c r="D44"/>
  <c r="D43"/>
  <c r="D42"/>
  <c r="D41"/>
  <c r="D40"/>
  <c r="D38"/>
  <c r="D37"/>
  <c r="D36"/>
  <c r="D35"/>
  <c r="D34"/>
  <c r="C44"/>
  <c r="C42"/>
  <c r="C39"/>
  <c r="C37"/>
  <c r="C35"/>
  <c r="C45"/>
  <c r="C43"/>
  <c r="C41"/>
  <c r="C40"/>
  <c r="C38"/>
  <c r="C36"/>
  <c r="C34"/>
  <c r="B11"/>
  <c r="B25"/>
  <c r="B24"/>
  <c r="B23"/>
  <c r="B22"/>
  <c r="B21"/>
  <c r="B20"/>
  <c r="B19"/>
  <c r="B18"/>
  <c r="B17"/>
  <c r="B16"/>
  <c r="B15"/>
  <c r="B14"/>
  <c r="K26"/>
  <c r="J26"/>
  <c r="I26"/>
  <c r="H26"/>
  <c r="G26"/>
  <c r="F26"/>
  <c r="D17" i="3"/>
  <c r="N17"/>
  <c r="K17"/>
  <c r="F17"/>
  <c r="H19"/>
  <c r="H22"/>
  <c r="H21"/>
  <c r="M28"/>
  <c r="J28"/>
  <c r="I28"/>
  <c r="H28"/>
  <c r="H27"/>
  <c r="H25"/>
  <c r="H23"/>
  <c r="M27"/>
  <c r="M25"/>
  <c r="M24"/>
  <c r="M23"/>
  <c r="M22"/>
  <c r="M21"/>
  <c r="J20" l="1"/>
  <c r="B45" i="2"/>
  <c r="B34"/>
  <c r="B44"/>
  <c r="B36"/>
  <c r="B35"/>
  <c r="B41"/>
  <c r="B40"/>
  <c r="B43"/>
  <c r="B42"/>
  <c r="B39"/>
  <c r="B38"/>
  <c r="B37"/>
  <c r="E17" i="3"/>
  <c r="H17"/>
  <c r="G19" l="1"/>
  <c r="E28"/>
  <c r="G28" s="1"/>
  <c r="E27"/>
  <c r="G27" s="1"/>
  <c r="E25"/>
  <c r="G25" s="1"/>
  <c r="E24"/>
  <c r="G24" s="1"/>
  <c r="E23"/>
  <c r="G23" s="1"/>
  <c r="E22"/>
  <c r="G22" s="1"/>
  <c r="E21"/>
  <c r="G21" s="1"/>
  <c r="E19"/>
  <c r="C26" i="2"/>
  <c r="D26"/>
  <c r="D46" s="1"/>
  <c r="E26"/>
  <c r="E46" s="1"/>
  <c r="B47" i="4"/>
  <c r="C47"/>
  <c r="D47"/>
  <c r="Y87"/>
  <c r="X87"/>
  <c r="W87"/>
  <c r="V87"/>
  <c r="C87"/>
  <c r="B108" s="1"/>
  <c r="I87"/>
  <c r="B109" s="1"/>
  <c r="Q87"/>
  <c r="P87"/>
  <c r="O87"/>
  <c r="B110" s="1"/>
  <c r="S43" i="3"/>
  <c r="L19" s="1"/>
  <c r="E87" i="4"/>
  <c r="D87"/>
  <c r="K87"/>
  <c r="R86"/>
  <c r="R85"/>
  <c r="R84"/>
  <c r="K67"/>
  <c r="E110" s="1"/>
  <c r="F87"/>
  <c r="C108" s="1"/>
  <c r="L87"/>
  <c r="C109" s="1"/>
  <c r="E67" l="1"/>
  <c r="M19" i="3"/>
  <c r="L17"/>
  <c r="M17" s="1"/>
  <c r="B26" i="2"/>
  <c r="B46" s="1"/>
  <c r="C46"/>
  <c r="I19" i="3"/>
  <c r="J19"/>
  <c r="J25"/>
  <c r="I25"/>
  <c r="I24"/>
  <c r="J24"/>
  <c r="I22"/>
  <c r="J22"/>
  <c r="J27"/>
  <c r="I27"/>
  <c r="I23"/>
  <c r="J23"/>
  <c r="J21"/>
  <c r="I21"/>
  <c r="G17"/>
  <c r="R87" i="4"/>
  <c r="C110" l="1"/>
  <c r="A31" i="3"/>
  <c r="B43" s="1"/>
  <c r="I17"/>
  <c r="J17"/>
  <c r="N67"/>
  <c r="N66"/>
  <c r="N65"/>
  <c r="N64"/>
  <c r="N63"/>
  <c r="N62"/>
  <c r="N61"/>
  <c r="N60"/>
  <c r="N59"/>
  <c r="N58"/>
  <c r="N57"/>
  <c r="N56"/>
  <c r="N55"/>
  <c r="N54"/>
  <c r="N53"/>
  <c r="N52"/>
  <c r="N51"/>
  <c r="N50"/>
  <c r="N49"/>
  <c r="N48"/>
  <c r="N47"/>
  <c r="N46"/>
  <c r="N45"/>
  <c r="N44"/>
  <c r="N43"/>
  <c r="A33"/>
  <c r="S44" s="1"/>
  <c r="A39"/>
  <c r="A37"/>
  <c r="A32"/>
  <c r="D43" s="1"/>
  <c r="D44" l="1"/>
  <c r="T44"/>
  <c r="S45"/>
  <c r="T45" s="1"/>
  <c r="W70"/>
  <c r="W54"/>
  <c r="W71"/>
  <c r="W55"/>
  <c r="W72"/>
  <c r="W56"/>
  <c r="W43"/>
  <c r="H43" s="1"/>
  <c r="W52"/>
  <c r="W59"/>
  <c r="W44"/>
  <c r="W57"/>
  <c r="W58"/>
  <c r="W68"/>
  <c r="W60"/>
  <c r="W61"/>
  <c r="W45"/>
  <c r="W64"/>
  <c r="W51"/>
  <c r="W53"/>
  <c r="W62"/>
  <c r="W46"/>
  <c r="W69"/>
  <c r="W63"/>
  <c r="W47"/>
  <c r="W48"/>
  <c r="W66"/>
  <c r="W65"/>
  <c r="W49"/>
  <c r="W50"/>
  <c r="W67"/>
  <c r="A7"/>
  <c r="S46" l="1"/>
  <c r="D45"/>
  <c r="A8"/>
  <c r="A10" s="1"/>
  <c r="S47" l="1"/>
  <c r="T46"/>
  <c r="D46"/>
  <c r="S48" l="1"/>
  <c r="T47"/>
  <c r="D47"/>
  <c r="S49" l="1"/>
  <c r="T48"/>
  <c r="D48"/>
  <c r="S50" l="1"/>
  <c r="T50" s="1"/>
  <c r="T49"/>
  <c r="D49"/>
  <c r="D50" l="1"/>
  <c r="D51" s="1"/>
  <c r="S51"/>
  <c r="S52" l="1"/>
  <c r="T51"/>
  <c r="S53" l="1"/>
  <c r="D52"/>
  <c r="T52"/>
  <c r="S54" l="1"/>
  <c r="T53"/>
  <c r="D53"/>
  <c r="S55" l="1"/>
  <c r="T54"/>
  <c r="D54"/>
  <c r="S56" l="1"/>
  <c r="T56" s="1"/>
  <c r="T55"/>
  <c r="D55"/>
  <c r="S57" l="1"/>
  <c r="D56"/>
  <c r="S58" l="1"/>
  <c r="T57"/>
  <c r="D57"/>
  <c r="S59" l="1"/>
  <c r="T58"/>
  <c r="D58"/>
  <c r="S60" l="1"/>
  <c r="T59"/>
  <c r="D59"/>
  <c r="S61" l="1"/>
  <c r="T60"/>
  <c r="D60"/>
  <c r="D61" l="1"/>
  <c r="S62"/>
  <c r="T62" s="1"/>
  <c r="T61"/>
  <c r="D62" l="1"/>
  <c r="S63"/>
  <c r="S64" l="1"/>
  <c r="T63"/>
  <c r="D63"/>
  <c r="S65" l="1"/>
  <c r="T64"/>
  <c r="D64"/>
  <c r="S66" l="1"/>
  <c r="T66" s="1"/>
  <c r="T65"/>
  <c r="D65"/>
  <c r="S67" l="1"/>
  <c r="T67" s="1"/>
  <c r="D66"/>
  <c r="S68" l="1"/>
  <c r="D67"/>
  <c r="S69" l="1"/>
  <c r="T68"/>
  <c r="D68"/>
  <c r="S70" l="1"/>
  <c r="T70" s="1"/>
  <c r="T69"/>
  <c r="D69"/>
  <c r="I67" i="4"/>
  <c r="H67"/>
  <c r="I47"/>
  <c r="E47" s="1"/>
  <c r="P43" i="3" s="1"/>
  <c r="J66" i="4"/>
  <c r="O66" s="1"/>
  <c r="J65"/>
  <c r="O65" s="1"/>
  <c r="J64"/>
  <c r="O64" s="1"/>
  <c r="J63"/>
  <c r="O63" s="1"/>
  <c r="G66"/>
  <c r="G65"/>
  <c r="G64"/>
  <c r="G63"/>
  <c r="G62"/>
  <c r="G61"/>
  <c r="G60"/>
  <c r="G59"/>
  <c r="G58"/>
  <c r="G57"/>
  <c r="G56"/>
  <c r="Q43" i="3" l="1"/>
  <c r="O67" i="4"/>
  <c r="U43" i="3"/>
  <c r="U44" s="1"/>
  <c r="S71"/>
  <c r="D70"/>
  <c r="C25" i="4"/>
  <c r="D110"/>
  <c r="B25"/>
  <c r="J67"/>
  <c r="D26"/>
  <c r="Q44" i="3" l="1"/>
  <c r="V44"/>
  <c r="U45"/>
  <c r="U46" s="1"/>
  <c r="O19"/>
  <c r="O17" s="1"/>
  <c r="A34" s="1"/>
  <c r="P19"/>
  <c r="P17" s="1"/>
  <c r="A35" s="1"/>
  <c r="C43" s="1"/>
  <c r="E43" s="1"/>
  <c r="P44"/>
  <c r="S72"/>
  <c r="T72" s="1"/>
  <c r="T71"/>
  <c r="D71"/>
  <c r="D25" i="4"/>
  <c r="V46" i="3" l="1"/>
  <c r="U47"/>
  <c r="F47" s="1"/>
  <c r="V45"/>
  <c r="F46"/>
  <c r="F43"/>
  <c r="G43" s="1"/>
  <c r="I43" s="1"/>
  <c r="F45"/>
  <c r="F44"/>
  <c r="P45"/>
  <c r="Q45" s="1"/>
  <c r="C44"/>
  <c r="D72"/>
  <c r="U48" l="1"/>
  <c r="V47"/>
  <c r="C45"/>
  <c r="E45" s="1"/>
  <c r="E44"/>
  <c r="K43"/>
  <c r="L43" s="1"/>
  <c r="M43" s="1"/>
  <c r="B44"/>
  <c r="H44" s="1"/>
  <c r="P46"/>
  <c r="P47" s="1"/>
  <c r="U49" l="1"/>
  <c r="F49" s="1"/>
  <c r="F48"/>
  <c r="V48"/>
  <c r="C46"/>
  <c r="C47" s="1"/>
  <c r="E47" s="1"/>
  <c r="G45"/>
  <c r="K45" s="1"/>
  <c r="Q47"/>
  <c r="P48"/>
  <c r="Q46"/>
  <c r="V49" l="1"/>
  <c r="U50"/>
  <c r="F50" s="1"/>
  <c r="G46"/>
  <c r="E46"/>
  <c r="Q48"/>
  <c r="P49"/>
  <c r="C48"/>
  <c r="E48" s="1"/>
  <c r="G47"/>
  <c r="G44"/>
  <c r="I44" s="1"/>
  <c r="V50" l="1"/>
  <c r="U51"/>
  <c r="F51" s="1"/>
  <c r="K46"/>
  <c r="K44"/>
  <c r="L44" s="1"/>
  <c r="L45" s="1"/>
  <c r="K47"/>
  <c r="Q49"/>
  <c r="P50"/>
  <c r="P51" s="1"/>
  <c r="C49"/>
  <c r="E49" s="1"/>
  <c r="G48"/>
  <c r="B45"/>
  <c r="U52" l="1"/>
  <c r="V51"/>
  <c r="L46"/>
  <c r="L47" s="1"/>
  <c r="M44"/>
  <c r="K48"/>
  <c r="Q51"/>
  <c r="P52"/>
  <c r="Q52" s="1"/>
  <c r="C50"/>
  <c r="E50" s="1"/>
  <c r="G49"/>
  <c r="Q50"/>
  <c r="H45"/>
  <c r="I45" s="1"/>
  <c r="V52" l="1"/>
  <c r="F52"/>
  <c r="U53"/>
  <c r="L48"/>
  <c r="K49"/>
  <c r="P53"/>
  <c r="P54" s="1"/>
  <c r="C51"/>
  <c r="G50"/>
  <c r="B46"/>
  <c r="M45"/>
  <c r="V53" l="1"/>
  <c r="F53"/>
  <c r="U54"/>
  <c r="C52"/>
  <c r="E52" s="1"/>
  <c r="E51"/>
  <c r="L49"/>
  <c r="Q53"/>
  <c r="Q54"/>
  <c r="P55"/>
  <c r="G51"/>
  <c r="K50"/>
  <c r="H46"/>
  <c r="I46" s="1"/>
  <c r="V54" l="1"/>
  <c r="F54"/>
  <c r="U55"/>
  <c r="C53"/>
  <c r="E53" s="1"/>
  <c r="G52"/>
  <c r="K52" s="1"/>
  <c r="L50"/>
  <c r="L51" s="1"/>
  <c r="P56"/>
  <c r="K51"/>
  <c r="Q55"/>
  <c r="B47"/>
  <c r="M46"/>
  <c r="V55" l="1"/>
  <c r="F55"/>
  <c r="U56"/>
  <c r="F56" s="1"/>
  <c r="C54"/>
  <c r="E54" s="1"/>
  <c r="G53"/>
  <c r="K53" s="1"/>
  <c r="L52"/>
  <c r="P57"/>
  <c r="P58" s="1"/>
  <c r="Q56"/>
  <c r="H47"/>
  <c r="I47" s="1"/>
  <c r="U57" l="1"/>
  <c r="V56"/>
  <c r="C55"/>
  <c r="E55" s="1"/>
  <c r="L53"/>
  <c r="G54"/>
  <c r="K54" s="1"/>
  <c r="Q58"/>
  <c r="P59"/>
  <c r="Q59" s="1"/>
  <c r="Q57"/>
  <c r="B48"/>
  <c r="M47"/>
  <c r="V57" l="1"/>
  <c r="F57"/>
  <c r="U58"/>
  <c r="F58" s="1"/>
  <c r="L54"/>
  <c r="C56"/>
  <c r="E56" s="1"/>
  <c r="G55"/>
  <c r="K55" s="1"/>
  <c r="P60"/>
  <c r="H48"/>
  <c r="I48" s="1"/>
  <c r="U59" l="1"/>
  <c r="V59" s="1"/>
  <c r="V58"/>
  <c r="L55"/>
  <c r="C57"/>
  <c r="E57" s="1"/>
  <c r="G56"/>
  <c r="K56" s="1"/>
  <c r="P61"/>
  <c r="Q60"/>
  <c r="M48"/>
  <c r="B49"/>
  <c r="U60" l="1"/>
  <c r="F59"/>
  <c r="L56"/>
  <c r="C58"/>
  <c r="E58" s="1"/>
  <c r="G57"/>
  <c r="K57" s="1"/>
  <c r="P62"/>
  <c r="Q62" s="1"/>
  <c r="Q61"/>
  <c r="H49"/>
  <c r="I49" s="1"/>
  <c r="F60" l="1"/>
  <c r="U61"/>
  <c r="V60"/>
  <c r="L57"/>
  <c r="C59"/>
  <c r="E59" s="1"/>
  <c r="G58"/>
  <c r="K58" s="1"/>
  <c r="P63"/>
  <c r="B50"/>
  <c r="M49"/>
  <c r="V61" l="1"/>
  <c r="F61"/>
  <c r="U62"/>
  <c r="L58"/>
  <c r="C60"/>
  <c r="E60" s="1"/>
  <c r="G59"/>
  <c r="K59" s="1"/>
  <c r="P64"/>
  <c r="P65" s="1"/>
  <c r="Q63"/>
  <c r="H50"/>
  <c r="I50" s="1"/>
  <c r="V63" l="1"/>
  <c r="V62"/>
  <c r="F62"/>
  <c r="U63"/>
  <c r="L59"/>
  <c r="G60"/>
  <c r="K60" s="1"/>
  <c r="C61"/>
  <c r="E61" s="1"/>
  <c r="Q64"/>
  <c r="Q65"/>
  <c r="P66"/>
  <c r="B51"/>
  <c r="M50"/>
  <c r="F63" l="1"/>
  <c r="U64"/>
  <c r="L60"/>
  <c r="C62"/>
  <c r="E62" s="1"/>
  <c r="G61"/>
  <c r="K61" s="1"/>
  <c r="Q66"/>
  <c r="P67"/>
  <c r="H51"/>
  <c r="I51" s="1"/>
  <c r="V64" l="1"/>
  <c r="F64"/>
  <c r="U65"/>
  <c r="L61"/>
  <c r="G62"/>
  <c r="K62" s="1"/>
  <c r="C63"/>
  <c r="E63" s="1"/>
  <c r="P68"/>
  <c r="P69" s="1"/>
  <c r="Q67"/>
  <c r="B52"/>
  <c r="M51"/>
  <c r="V65" l="1"/>
  <c r="F65"/>
  <c r="U66"/>
  <c r="L62"/>
  <c r="G63"/>
  <c r="K63" s="1"/>
  <c r="C64"/>
  <c r="E64" s="1"/>
  <c r="Q69"/>
  <c r="P70"/>
  <c r="Q68"/>
  <c r="H52"/>
  <c r="I52" s="1"/>
  <c r="V66" l="1"/>
  <c r="F66"/>
  <c r="U67"/>
  <c r="V67" s="1"/>
  <c r="L63"/>
  <c r="G64"/>
  <c r="K64" s="1"/>
  <c r="C65"/>
  <c r="E65" s="1"/>
  <c r="P71"/>
  <c r="P72" s="1"/>
  <c r="Q72" s="1"/>
  <c r="Q70"/>
  <c r="B53"/>
  <c r="M52"/>
  <c r="F67" l="1"/>
  <c r="U68"/>
  <c r="L64"/>
  <c r="C66"/>
  <c r="E66" s="1"/>
  <c r="G65"/>
  <c r="K65" s="1"/>
  <c r="Q71"/>
  <c r="H53"/>
  <c r="I53" s="1"/>
  <c r="V68" l="1"/>
  <c r="F68"/>
  <c r="U69"/>
  <c r="L65"/>
  <c r="C67"/>
  <c r="E67" s="1"/>
  <c r="G66"/>
  <c r="K66" s="1"/>
  <c r="B54"/>
  <c r="M53"/>
  <c r="V69" l="1"/>
  <c r="F69"/>
  <c r="U70"/>
  <c r="V70" s="1"/>
  <c r="L66"/>
  <c r="C68"/>
  <c r="E68" s="1"/>
  <c r="G67"/>
  <c r="K67" s="1"/>
  <c r="H54"/>
  <c r="I54" s="1"/>
  <c r="F70" l="1"/>
  <c r="U71"/>
  <c r="L67"/>
  <c r="C69"/>
  <c r="E69" s="1"/>
  <c r="G68"/>
  <c r="K68" s="1"/>
  <c r="M54"/>
  <c r="B55"/>
  <c r="U72" l="1"/>
  <c r="F71"/>
  <c r="V71"/>
  <c r="L68"/>
  <c r="C70"/>
  <c r="E70" s="1"/>
  <c r="G69"/>
  <c r="K69" s="1"/>
  <c r="H55"/>
  <c r="I55" s="1"/>
  <c r="V72" l="1"/>
  <c r="F72"/>
  <c r="L69"/>
  <c r="C71"/>
  <c r="E71" s="1"/>
  <c r="G70"/>
  <c r="K70" s="1"/>
  <c r="B56"/>
  <c r="M55"/>
  <c r="L70" l="1"/>
  <c r="C72"/>
  <c r="E72" s="1"/>
  <c r="G71"/>
  <c r="K71" s="1"/>
  <c r="H56"/>
  <c r="I56" s="1"/>
  <c r="L71" l="1"/>
  <c r="G72"/>
  <c r="K72" s="1"/>
  <c r="B57"/>
  <c r="M56"/>
  <c r="L72" l="1"/>
  <c r="H57"/>
  <c r="I57" s="1"/>
  <c r="B58" l="1"/>
  <c r="M57"/>
  <c r="H58" l="1"/>
  <c r="I58" s="1"/>
  <c r="B59" l="1"/>
  <c r="M58"/>
  <c r="H59" l="1"/>
  <c r="I59" s="1"/>
  <c r="B60" l="1"/>
  <c r="M59"/>
  <c r="H60" l="1"/>
  <c r="I60" s="1"/>
  <c r="M60" l="1"/>
  <c r="B61"/>
  <c r="H61" l="1"/>
  <c r="I61" s="1"/>
  <c r="B62" l="1"/>
  <c r="M61"/>
  <c r="H62" l="1"/>
  <c r="I62" s="1"/>
  <c r="B63" l="1"/>
  <c r="M62"/>
  <c r="H63" l="1"/>
  <c r="I63" s="1"/>
  <c r="B64" l="1"/>
  <c r="M63"/>
  <c r="H64" l="1"/>
  <c r="I64" s="1"/>
  <c r="B65" l="1"/>
  <c r="M64"/>
  <c r="H65" l="1"/>
  <c r="I65" s="1"/>
  <c r="B66" l="1"/>
  <c r="M65"/>
  <c r="H66" l="1"/>
  <c r="I66" s="1"/>
  <c r="M66" l="1"/>
  <c r="B67"/>
  <c r="H67" l="1"/>
  <c r="I67" s="1"/>
  <c r="M67" l="1"/>
  <c r="B68"/>
  <c r="H68" l="1"/>
  <c r="I68" s="1"/>
  <c r="B69" l="1"/>
  <c r="M68"/>
  <c r="H69" l="1"/>
  <c r="I69" s="1"/>
  <c r="B70" l="1"/>
  <c r="M69"/>
  <c r="H70" l="1"/>
  <c r="I70" s="1"/>
  <c r="B71" l="1"/>
  <c r="M70"/>
  <c r="H71" l="1"/>
  <c r="I71" s="1"/>
  <c r="M71" l="1"/>
  <c r="B72"/>
  <c r="H72" l="1"/>
  <c r="I72" s="1"/>
  <c r="M72" s="1"/>
</calcChain>
</file>

<file path=xl/sharedStrings.xml><?xml version="1.0" encoding="utf-8"?>
<sst xmlns="http://schemas.openxmlformats.org/spreadsheetml/2006/main" count="425" uniqueCount="265">
  <si>
    <t>Jan</t>
  </si>
  <si>
    <t>Feb</t>
  </si>
  <si>
    <t>Mar</t>
  </si>
  <si>
    <t>Apr</t>
  </si>
  <si>
    <t>May</t>
  </si>
  <si>
    <t>Jun</t>
  </si>
  <si>
    <t>Jul</t>
  </si>
  <si>
    <t>Aug</t>
  </si>
  <si>
    <t>Sep</t>
  </si>
  <si>
    <t>Oct</t>
  </si>
  <si>
    <t>Nov</t>
  </si>
  <si>
    <t>Dec</t>
  </si>
  <si>
    <t>Month</t>
  </si>
  <si>
    <t>TOTAL</t>
  </si>
  <si>
    <t>Solar</t>
  </si>
  <si>
    <t>1118-1239</t>
  </si>
  <si>
    <t>3955-4383</t>
  </si>
  <si>
    <t>3383-3750</t>
  </si>
  <si>
    <t>8456-9372</t>
  </si>
  <si>
    <t>Variance</t>
  </si>
  <si>
    <t>Usage</t>
  </si>
  <si>
    <t>Federal Tax Credit/Subsidy of 30% - thank you taxpayers! ;-)</t>
  </si>
  <si>
    <t>LIFETIME</t>
  </si>
  <si>
    <t>kWh</t>
  </si>
  <si>
    <t>But since you can NOT cash this in and you LOSE it when you move, you do NOT want to generate excessive Solar Energy!</t>
  </si>
  <si>
    <t>7.2kW system of 18 Tesla 400H Watt Solar Panels in three arrays of 2@192°, 8@102°, 8@282° all at 23° pitch with very minimal shading at (basically) 40N &amp; 105W - operational 9/1/2023</t>
  </si>
  <si>
    <t>37.6/23.4</t>
  </si>
  <si>
    <t>28.3/18.6</t>
  </si>
  <si>
    <t>20.5/19.9</t>
  </si>
  <si>
    <t>14.9/26.1</t>
  </si>
  <si>
    <t>19.5/24.1</t>
  </si>
  <si>
    <t>27.9/21.2</t>
  </si>
  <si>
    <t>35.6/19.9</t>
  </si>
  <si>
    <t>47.2/18.9</t>
  </si>
  <si>
    <t>47.9/24.2</t>
  </si>
  <si>
    <t>45.3/38.7</t>
  </si>
  <si>
    <t>2023/09-$75     2024/06-$86</t>
  </si>
  <si>
    <t>In fairness, Xcel provides me with (basically) an "Infinite battery" available 7x24 to provide (and absorb) my power for under $100/year - WHAT A DEAL!!!</t>
  </si>
  <si>
    <t>My data (minus connection fee) from historical December rates: 2006/8.0 - 2008/9.2 - 2010/9.4 - 2012/10.2 - 2014/10.6 - 2016/10.7 - 2018/10.7 - 2020/11.0  - 2022/11.9</t>
  </si>
  <si>
    <t xml:space="preserve">BIG issue is what will happen with NEM in the next couple of decades!!!  </t>
  </si>
  <si>
    <t xml:space="preserve">2023: California moves from NEM2.0 to NEM3.0 which reduces the value of excess solar generation from retail rates to "Avoided Cost" (think Wholesale rates)... which is *considerably* less. </t>
  </si>
  <si>
    <t>2024: California increased fixed costs to $24/month and decreased cents/kWh 20% … LOL it was at 31 cents/kWh - over double what Colorado is!</t>
  </si>
  <si>
    <t>Significant issues include if install damaged roof, hail damage, replacing roof (I have concrete tile, but shingles would require multi-thousand dollar destack), inverter failure (warranty is 12.5 years), critter damage, etc.</t>
  </si>
  <si>
    <t>Other minor issues are increase in homeowner's insurance, property taxes (not allowed in Colorado), timing of tax credit (9 months later for me!)</t>
  </si>
  <si>
    <t>Year</t>
  </si>
  <si>
    <t>Starting</t>
  </si>
  <si>
    <t>kWh Cost</t>
  </si>
  <si>
    <t>Solar kWh</t>
  </si>
  <si>
    <t>Solar $$$</t>
  </si>
  <si>
    <t>Usage kWh</t>
  </si>
  <si>
    <t>Usage $$$</t>
  </si>
  <si>
    <t>IRR</t>
  </si>
  <si>
    <t>Ending</t>
  </si>
  <si>
    <t>Total</t>
  </si>
  <si>
    <t>^^^^^^^</t>
  </si>
  <si>
    <t>Worksheet tab</t>
  </si>
  <si>
    <t>Description</t>
  </si>
  <si>
    <t>Column Info</t>
  </si>
  <si>
    <t>Cost &amp; Payback</t>
  </si>
  <si>
    <t>How much did it cost to put in Solar and a WAG on if it's worth it?</t>
  </si>
  <si>
    <t>Xcel has a required "Service &amp; Facilities Charge" that can NOT be offset by excess solar production</t>
  </si>
  <si>
    <t>Equiv Cost</t>
  </si>
  <si>
    <t>Scenario</t>
  </si>
  <si>
    <t>kWh Usage</t>
  </si>
  <si>
    <t>Cents/kWh</t>
  </si>
  <si>
    <t>kWh Solar</t>
  </si>
  <si>
    <t>Opt #1</t>
  </si>
  <si>
    <t>Opt #2</t>
  </si>
  <si>
    <t>Actual</t>
  </si>
  <si>
    <t>Custom</t>
  </si>
  <si>
    <t>Elec %</t>
  </si>
  <si>
    <t>Invest %</t>
  </si>
  <si>
    <t>TOTAL Cost - LOL does NOT include putting the entire amount on a (big spend) credit card for no fee … so got 158,504 points ($18,504 charge, 40,000 referral to Wendy, 100,000 bonus!) … KA-CHING!</t>
  </si>
  <si>
    <t xml:space="preserve">   Optimal Scenario #1 - match Usage to Output</t>
  </si>
  <si>
    <t>Degrade %</t>
  </si>
  <si>
    <t>Nameste</t>
  </si>
  <si>
    <t>Positive value means better to have invested - negative means Solar was better</t>
  </si>
  <si>
    <t>If high percentage of energy comes from solar, then during peak production times rates go "negative" … and personal batteries are EXPENSIVE!</t>
  </si>
  <si>
    <t>K&amp;L: Solar Bank - this accounts for generated solar (and $$$) that is in excess of usage and can be used to offset future cost. If the Total goes Negative, then I have to "pay" to cover the excess energy usage.</t>
  </si>
  <si>
    <t>Alaska</t>
  </si>
  <si>
    <t>Ending - SB</t>
  </si>
  <si>
    <t>I: Columns B-G+H (That year's Capital MINUS what I saved from Solar PLUS what I could have earned from S&amp;P 500) ... which feeds back into next year Column B ... and then repeat each year!</t>
  </si>
  <si>
    <t>Predicted</t>
  </si>
  <si>
    <t>kWh Starting Solar Production</t>
  </si>
  <si>
    <t>Solar production as predicted from NREL PVWatts</t>
  </si>
  <si>
    <t>Prod &amp; Usage Graphs</t>
  </si>
  <si>
    <t>PVWatts says that based on 30 years of weather data and the annual variability for Boulder CO, there is a 90% chance that production will be 93% or higher and 10% chance&gt;103%</t>
  </si>
  <si>
    <t>Panels should provide 98%+ production the first year and then degrading 0.5%/year</t>
  </si>
  <si>
    <t xml:space="preserve">                Solar Bank</t>
  </si>
  <si>
    <t>Simplifying by doing calculations by year, rather than by month. Ending is Starting+IRR-Usage (if invested versus saved)</t>
  </si>
  <si>
    <t>Solar System Cost Data and Payback Analysis</t>
  </si>
  <si>
    <t>My Cost which ends up being $1.80/Watt after subsidy - Namaste was 50% higher at $2.70/Watt!</t>
  </si>
  <si>
    <t xml:space="preserve">   "LOW" Scenario from Alaska 6.7kW system - assume all solar output is used</t>
  </si>
  <si>
    <t>F: How much energy is actually used. If less than solar production, then the extra goes (1:1 at cost!) into Column K - Solar Bank.</t>
  </si>
  <si>
    <t>H: Multiple B times post-tax invest rate of return to get the "didn't invest in solar" return. The 20-year S&amp;P 500 return is 9.6%, so Post-tax is about 7.5% multiplied by capital left in Column B.</t>
  </si>
  <si>
    <t>G: Multiply C &amp; minimum of (D,F). I.e. the cents/kWh times how much kWh (up to usage) that solar produces that I don't have to pay for.</t>
  </si>
  <si>
    <t>B: Starting value is how much solar cost OR you can invest … and then is updated each year.</t>
  </si>
  <si>
    <t>C: Electricity costs in cents/kWh, increasing each year - mine is 2.5%/year in last 25+ years.</t>
  </si>
  <si>
    <t>D: How much Solar Panels generate each year in kWh after degradation … output typically decreases 0.5% per year.</t>
  </si>
  <si>
    <t>Note this can be used if Solar doesn't provide enough, stops working, etc. But this is LOST when you move, so ideally not much positive balance.</t>
  </si>
  <si>
    <t>N: Columns I-L (Capital remaining minus Solar Bank balance) which is the "TOTAL" number - if it goes negative, then Solar was the better investment.</t>
  </si>
  <si>
    <t>Acquisition Cost … note this was "linear" pricing - i.e. $2.57/Watt even if more/less panels, so makes it easy to generate "optimum" cost analysis below.</t>
  </si>
  <si>
    <t>Tesla doesn't install a Critter Guard and installers quoted it at $1,000 … but I did it myself for cost of materials of $200.</t>
  </si>
  <si>
    <t xml:space="preserve">   Enter your own Custom Numbers</t>
  </si>
  <si>
    <t>45.1/40.4</t>
  </si>
  <si>
    <t>36.5/43.8</t>
  </si>
  <si>
    <t>Tesla Annual Predicted</t>
  </si>
  <si>
    <t>Xcel</t>
  </si>
  <si>
    <t>Sep-Dec</t>
  </si>
  <si>
    <t>So obviously a boo-boo in sizing the system - D'OH!   ;-)</t>
  </si>
  <si>
    <t>Cooling</t>
  </si>
  <si>
    <t>Heating</t>
  </si>
  <si>
    <t>Therms</t>
  </si>
  <si>
    <t>Xcel Data</t>
  </si>
  <si>
    <t>ANNUAL</t>
  </si>
  <si>
    <t xml:space="preserve">   I.e. Installed too many solar panels!</t>
  </si>
  <si>
    <t>Questionable Data - usually fixed via interpolation!</t>
  </si>
  <si>
    <r>
      <rPr>
        <vertAlign val="superscript"/>
        <sz val="11"/>
        <color theme="1"/>
        <rFont val="Calibri"/>
        <family val="2"/>
        <scheme val="minor"/>
      </rPr>
      <t>*1</t>
    </r>
    <r>
      <rPr>
        <sz val="11"/>
        <color theme="1"/>
        <rFont val="Calibri"/>
        <family val="2"/>
        <scheme val="minor"/>
      </rPr>
      <t>Feb</t>
    </r>
  </si>
  <si>
    <r>
      <rPr>
        <vertAlign val="superscript"/>
        <sz val="11"/>
        <color theme="1"/>
        <rFont val="Calibri"/>
        <family val="2"/>
        <scheme val="minor"/>
      </rPr>
      <t>*1</t>
    </r>
    <r>
      <rPr>
        <sz val="11"/>
        <color theme="1"/>
        <rFont val="Calibri"/>
        <family val="2"/>
        <scheme val="minor"/>
      </rPr>
      <t>Mar</t>
    </r>
  </si>
  <si>
    <t>2020 Partial - NOT graphed</t>
  </si>
  <si>
    <t>*1 - House was vacant from mid-Feb to mid-Mar/2024 … so usage then was truly "baseline" load (8-9kWh/day) since no people, heat turned down, minimal lights, etc.</t>
  </si>
  <si>
    <t>Utility Graphs</t>
  </si>
  <si>
    <t>Note there is no major changes in our usage - if anything, we crank the A/C more(!) … so why the heck is the usage almost 20% lower?!?</t>
  </si>
  <si>
    <t>BTW, summertime baseline (lights aren't on as much) is just over 7kWh/day - about 300 Watts/hour average(!) - 7x24 Radon Fan and computer stuff is close to half of that.</t>
  </si>
  <si>
    <t>Notes</t>
  </si>
  <si>
    <t xml:space="preserve">   This is the actual numbers used when designing my Solar System</t>
  </si>
  <si>
    <t xml:space="preserve">   Optimal Scenario #2 - match Output to Usage</t>
  </si>
  <si>
    <t>Average Annual Cents/kWh at start - For me, I declined TOU, so it's fixed cents/kWh from 6/1-9/30 and a bit lower the rest of the year - details on Prod &amp; Usage Data Tab</t>
  </si>
  <si>
    <t>Note that Payback Analysis is very sensitive (DUH!) to electricity costs (mine was 13.5 cents/kWh) and annual increases (2.5% last 25+ years) plus investment rate of return (S&amp;P500 pre-tax is 9.6% last 20 years)</t>
  </si>
  <si>
    <t>&lt;&lt;&lt;&lt;&lt;&lt;&lt;&lt;   Select a numbers from one of the scenario's below and scroll down to see results</t>
  </si>
  <si>
    <t>Annual Degradation in Solar Output - My specs (typical) say expected solar production will be at least 86% after 25 years. Panel Warranty is 25 years - Inverter is 12.5 years (Tesla fixes, but does not make up loss of production)</t>
  </si>
  <si>
    <t>Gas and Electrical Usage plus Solar Production</t>
  </si>
  <si>
    <t>Solar goes live at end of August/2023 … so now generating energy</t>
  </si>
  <si>
    <t xml:space="preserve">Annual Gas and Electrical Usage with Solar Generation from 2024 onward </t>
  </si>
  <si>
    <t>Install Radon Fan which pulls ~60Watts which runs 7X24 (so 500+kWh/year) in August/2022</t>
  </si>
  <si>
    <t>Old fridge died (while gone for a week - STINKERS) so new/better/bigger one installed in August/2013</t>
  </si>
  <si>
    <t>Hot Water Heater (Gas) replaced in Feb/2020 … doubt it will make much difference</t>
  </si>
  <si>
    <t>Data from 2021 onward is based on Xcel (numbers above) and has higher accuracy</t>
  </si>
  <si>
    <t xml:space="preserve">  4mo</t>
  </si>
  <si>
    <t>Pred Prod</t>
  </si>
  <si>
    <t>Graph of predicted and actual solar production plus home usage</t>
  </si>
  <si>
    <t>Bar Charts of Electrical &amp; Gas Usage since 2007</t>
  </si>
  <si>
    <t>Electrical &amp; Gas data from utility plus solar production</t>
  </si>
  <si>
    <t>I welcome any suggestions/feedback. Alek Komarnitsky - www.komar.org</t>
  </si>
  <si>
    <t>Over time, it has evolved to also show and analyze my utility data … and again, it's fairly generic so you can easily replace with your data and generate pretty graphs.</t>
  </si>
  <si>
    <t>You can easily change the values below (which flow to the other tabs and graphs) with your own by using the PVWatts website, what your vendor has provided, or however you predict output.</t>
  </si>
  <si>
    <t>You can easily replace the numbers below with your data and they will flow to the other tabs and graphs</t>
  </si>
  <si>
    <t>Graph of Electrical &amp; Gas Usage with Heating/Cooling Days</t>
  </si>
  <si>
    <t>My guess is if we were around, about 200kWh of additional energy would have been used - assumes straight-line reduction from Jan-Apr.</t>
  </si>
  <si>
    <t>New Furnace and A/C installed in October/2019. Furnace probably won't make much difference (although less cost to run fan) and A/C should be more efficient</t>
  </si>
  <si>
    <t>Cooling days use Electricity (kWh) to cool the house - Heating days use Gas (Therms) to warm it.</t>
  </si>
  <si>
    <t>Elec &amp; Gas Data</t>
  </si>
  <si>
    <t>Annual Graphs</t>
  </si>
  <si>
    <t>Array4</t>
  </si>
  <si>
    <t>Array5</t>
  </si>
  <si>
    <t>Array6</t>
  </si>
  <si>
    <t>Array7</t>
  </si>
  <si>
    <t>Array8</t>
  </si>
  <si>
    <t>Tax Credit</t>
  </si>
  <si>
    <t>Pre-Tax</t>
  </si>
  <si>
    <t>Post-Tax</t>
  </si>
  <si>
    <t>Extra</t>
  </si>
  <si>
    <t>As Planned</t>
  </si>
  <si>
    <t>$/kWh</t>
  </si>
  <si>
    <t>kW Rating</t>
  </si>
  <si>
    <t>Capacity</t>
  </si>
  <si>
    <t>Costs - ONLY enter Pre-Tax, Tax Credit Rate, and any Extra Costs</t>
  </si>
  <si>
    <t>$/Watt</t>
  </si>
  <si>
    <t>Nothing else needs to be changed unless you enter "Custom" numbers below and select that numeric option - Note that some columns are calculated for you</t>
  </si>
  <si>
    <t>Mine is 7.2kW system of 18 Tesla 400H Watt Solar Panels in three arrays of 2@192°, 8@102°, 8@282° all at 23° pitch with very minimal shading at (basically) 40N &amp; 105W - operational 9/1/2023</t>
  </si>
  <si>
    <t>Annual</t>
  </si>
  <si>
    <t>Factor</t>
  </si>
  <si>
    <t>System</t>
  </si>
  <si>
    <t>The numbers in the columns below come from above - ONLY select the number of the scenario</t>
  </si>
  <si>
    <t>Array1</t>
  </si>
  <si>
    <t>Array2</t>
  </si>
  <si>
    <t>Array3</t>
  </si>
  <si>
    <t>Array9</t>
  </si>
  <si>
    <t>All Arrays</t>
  </si>
  <si>
    <t>kW Capacity</t>
  </si>
  <si>
    <t>Yearly kWh</t>
  </si>
  <si>
    <t>Predicted kWh Output from NREL PVWatts Calculator - https://pvwatts.nrel.gov/</t>
  </si>
  <si>
    <t>Capacity Factor - predicted kWh output divided by kW capacity (X24 hours X days in month) - data entered above</t>
  </si>
  <si>
    <t>Solar Production Predicted Output</t>
  </si>
  <si>
    <t>Solar Panel Production/Usage Analysis</t>
  </si>
  <si>
    <t>kWh and Therms used alongside Cooling &amp; Heating Days</t>
  </si>
  <si>
    <t>Annual Electrical &amp; Gas Usage</t>
  </si>
  <si>
    <t>2x400@192°</t>
  </si>
  <si>
    <t>8x400@102°</t>
  </si>
  <si>
    <t>8x400@282°</t>
  </si>
  <si>
    <t>NREL PVWatts Calculator was done in mid/2024 using website version 8.2.1 and API version 8.0 with default parameters with Premium Modules and Roof Mount with 23° pitch</t>
  </si>
  <si>
    <r>
      <t>Interesting that (for those 2X400 panels), PVWatts at (as installed) 192/23</t>
    </r>
    <r>
      <rPr>
        <vertAlign val="superscript"/>
        <sz val="11"/>
        <color theme="1"/>
        <rFont val="Calibri"/>
        <family val="2"/>
        <scheme val="minor"/>
      </rPr>
      <t>o</t>
    </r>
    <r>
      <rPr>
        <sz val="11"/>
        <color theme="1"/>
        <rFont val="Calibri"/>
        <family val="2"/>
        <scheme val="minor"/>
      </rPr>
      <t xml:space="preserve"> (azimuth/pitch) is 1,199 kWh, optimum azimuth is 172</t>
    </r>
    <r>
      <rPr>
        <vertAlign val="superscript"/>
        <sz val="11"/>
        <color theme="1"/>
        <rFont val="Calibri"/>
        <family val="2"/>
        <scheme val="minor"/>
      </rPr>
      <t>o</t>
    </r>
    <r>
      <rPr>
        <sz val="11"/>
        <color theme="1"/>
        <rFont val="Calibri"/>
        <family val="2"/>
        <scheme val="minor"/>
      </rPr>
      <t xml:space="preserve"> (not 180</t>
    </r>
    <r>
      <rPr>
        <vertAlign val="superscript"/>
        <sz val="11"/>
        <color theme="1"/>
        <rFont val="Calibri"/>
        <family val="2"/>
        <scheme val="minor"/>
      </rPr>
      <t>o</t>
    </r>
    <r>
      <rPr>
        <sz val="11"/>
        <color theme="1"/>
        <rFont val="Calibri"/>
        <family val="2"/>
        <scheme val="minor"/>
      </rPr>
      <t>) for 1,211kWh, and absolute optimum is 172/40</t>
    </r>
    <r>
      <rPr>
        <vertAlign val="superscript"/>
        <sz val="11"/>
        <color theme="1"/>
        <rFont val="Calibri"/>
        <family val="2"/>
        <scheme val="minor"/>
      </rPr>
      <t>o</t>
    </r>
    <r>
      <rPr>
        <sz val="11"/>
        <color theme="1"/>
        <rFont val="Calibri"/>
        <family val="2"/>
        <scheme val="minor"/>
      </rPr>
      <t xml:space="preserve"> (matching my latitude) for 1,246kWh</t>
    </r>
  </si>
  <si>
    <t>NOTES/CHANGES</t>
  </si>
  <si>
    <t>Tesla estimated annual energy production at install - 1.6% less than NREL PVWatts - may account for very slight chimney shade?</t>
  </si>
  <si>
    <t>Dirk moves out in March/2022 (maybe ~1000kWh/year difference?) plus 4 Blown Windows replaced in Feb/2022 and insulation put above garage &amp; attic in the August/2022 (maybe some difference in kWh and Therms)</t>
  </si>
  <si>
    <t>Total Cost to install Solar System after tax credit/subsidy - should include Critter Guard and any other misc.</t>
  </si>
  <si>
    <t>kWh Electrical Usage</t>
  </si>
  <si>
    <t>Note that since Tesla pricing is linear, for what-if scenario's, you can simply adjust total price/output based on (ignore critter guard) $1.80/Watt post-tax. I had originally planned to put in 16 panels, but decided at the last minute to add 2 more … a mistake unless we increase our home usage!</t>
  </si>
  <si>
    <t xml:space="preserve">#3: Neighbor to East used Namaste - went BIGGER with 74(!) panels - 29kW - 36kWh (only 80% of their usage - albeit with two EV's and hot tub) for $120,000 and includes Critter Guard and Micro-Inverter Design. They weren't certain on the numbers, so those are estimates but seems about right. </t>
  </si>
  <si>
    <t>#2: BHE Neighbor used Namaste - went BIG with 32 panels - 13kW - 17kWh (only 70% of their usage - albeit with two EV's) for $50,000(!) and includes critter guard and Micro-Inverter Design. Nameste floats tax credit ($17,000!) as a tax-free loan.</t>
  </si>
  <si>
    <t>So Far</t>
  </si>
  <si>
    <t>Scenario ZERO: ACTUAL values by year from Elec &amp; Gas Data Tab and your IRR (I use S&amp;P500 minus 30% for taxes)</t>
  </si>
  <si>
    <t xml:space="preserve">   "Semi-actual" -  eyeball early usage and use that for average - currently using 9/1/2023-9/1/2024 - see note #1</t>
  </si>
  <si>
    <t>&lt;&lt;&lt;&lt;&lt;DATA NOT VALID UNTIL AFTER 2024 IS COMPLETE!!!</t>
  </si>
  <si>
    <t>% Change</t>
  </si>
  <si>
    <t>N/A</t>
  </si>
  <si>
    <t>33.7/31.1</t>
  </si>
  <si>
    <t>Start Year</t>
  </si>
  <si>
    <t>There's a LOT of data/analysis here … but don't let it overwhelm you at first … as you'll soon realize that "most" of the conditions/situations of interest are covered.</t>
  </si>
  <si>
    <t>Things still to do and/or not handled</t>
  </si>
  <si>
    <t>1. While I have a full year of data - which is used in some calculations - I plan to switch to calendar year for simplicity after the end of 2024</t>
  </si>
  <si>
    <t>NEM %</t>
  </si>
  <si>
    <t>NEM (Net Energy Metering) Factor. I.e. 100% (or 1:1) means you get the same rate for selling excess energy as you pay for it. Expect this number to decrease in the years to come!</t>
  </si>
  <si>
    <t>Selected #</t>
  </si>
  <si>
    <t>E: Multiply C &amp; D … AND multiply by NEM factor to get the "value" generated by Solar.</t>
  </si>
  <si>
    <t xml:space="preserve">Annual percent increase in electricity - EIA for Colorado shows last 25+ years is about 2.5% which is similar to what I have seen personally - LOL that 2023-&gt;2024 was 10%!   </t>
  </si>
  <si>
    <t>%Change</t>
  </si>
  <si>
    <t>WARM</t>
  </si>
  <si>
    <t>COLD</t>
  </si>
  <si>
    <t>I started building this spreadsheet in 2023 when I was installing Solar to help with the design -  the Cost &amp; Payback tab is fairly generic - try it out with your system!   ;-)</t>
  </si>
  <si>
    <t>PVWatts</t>
  </si>
  <si>
    <t>Gas</t>
  </si>
  <si>
    <t>Days</t>
  </si>
  <si>
    <t>Cents/</t>
  </si>
  <si>
    <t>NEM</t>
  </si>
  <si>
    <t>Costs</t>
  </si>
  <si>
    <t>Solar/Usage</t>
  </si>
  <si>
    <t>37.6 on 9/7</t>
  </si>
  <si>
    <t>Peak Daily</t>
  </si>
  <si>
    <t>Months based on abnormal heating/cooling days</t>
  </si>
  <si>
    <t>Average</t>
  </si>
  <si>
    <t>NEM can be incredibly complex. To fully handle TOU (Time-of-Use) and things such as demand pricing, you'd need by-minute production, usage, and cost data. This spreadsheet can only adjust cents/kWh and NEM at a monthly granularity.</t>
  </si>
  <si>
    <t>Powerwall-Dashboard</t>
  </si>
  <si>
    <t>My house was built in 1992 with 3,200 finished square feet &amp; 1,400 unfinished basement. Gas is used for the furnace, hot water, cooktop (until Aug/2024), and outside BBQ - everything else is electric.</t>
  </si>
  <si>
    <t>Predicted comes from NREL-PVWatts … see Pred Prod worksheet tab. Powerwall-Dashboard (which correlates very with Xcel) provides total Solar/Usage data which is used in the cost calculations.</t>
  </si>
  <si>
    <t>When I manually added up my monthly utility bills, my electrical usage from 2019-2022 was 7,466/7,568/7,612/7,600 kWh which formed the basis for sizing the solar system.</t>
  </si>
  <si>
    <t>This is an average of 7,562kWh (with 1.3% variance!), yet somehow our total home usage for the first year of solar from 9/1/2023-2024 dropped to 6,117 kWh - WTF?!?</t>
  </si>
  <si>
    <t>Well darn … I made a math error for 2022 as I transposed 6,700-&gt;7,600 when I wrote it down - confirmation bias looking at previous years!</t>
  </si>
  <si>
    <t>Now that I have better access to Xcel data, 2021 was 7,612kWh … but 2022 dropped to 6,700kWh … due to Dirk leaving house - LOL he was pulling a incremental ~1,000kWh … which actually seems reasonable!</t>
  </si>
  <si>
    <t>47.9 on 5/8</t>
  </si>
  <si>
    <t>Xcel NEM (Net Energy Metering) is (currently!) 1:1 consumed and converted (then) to a dollar amount for a Solar Bank than can accumulate and be used to offset any extra.</t>
  </si>
  <si>
    <t>The Solar Bank Rollover calculations are close but slightly off - after first year (9/1/2023-2024), Xcel says $352.73 and I show $384.</t>
  </si>
  <si>
    <t>They had some "issues" getting this going in the first few months, plus the plethora of additional charges/credits results in it not being exactly 13/14 cents/kWh.</t>
  </si>
  <si>
    <t>I have a 7.2kW system of 18 Tesla 400H Watt Solar Panels in three arrays of 2@192°, 8@102°, 8@282° all at 23° pitch with very minimal shading at (basically) 40N &amp; 105W - operational 9/1/2023</t>
  </si>
  <si>
    <t>#1:Starting cost of electricity was based on total cents/kWh in the first year of operation from 9/1/2023-9/1/2024. Unusually high bump from previous 14 cents/kWh to 16 cents/kWh for Summer/2024. I plan to switch to calendar year (i.e. skipping the partial 2023 data) once 2024 is complete.</t>
  </si>
  <si>
    <t>27.8/17.9</t>
  </si>
  <si>
    <t>Net</t>
  </si>
  <si>
    <t>Net@NEM of</t>
  </si>
  <si>
    <t>Namesta</t>
  </si>
  <si>
    <t xml:space="preserve">   Early/2024 Neighbor (ballpark numbers) - details below in note #2</t>
  </si>
  <si>
    <t xml:space="preserve">   Early/2024 Neighbor (ballpark numbers) - details below in note #3</t>
  </si>
  <si>
    <r>
      <t xml:space="preserve">   Actual numbers over the years - table below must have numbers - </t>
    </r>
    <r>
      <rPr>
        <b/>
        <sz val="14"/>
        <color theme="1"/>
        <rFont val="Calibri"/>
        <family val="2"/>
        <scheme val="minor"/>
      </rPr>
      <t>wait until after 2024 is complete!</t>
    </r>
  </si>
  <si>
    <t xml:space="preserve">   Early/2025 Neighbor - expected solar output is diminished due to shade from trees</t>
  </si>
  <si>
    <t>Post-tax Investment Rate of Return - possible numbers are 3% for CD's, 9.6% (S&amp;P500 last 20 years to 2023) or 12.2% (S&amp;P500 last 10 years) and then adjust for taxes - https://www.officialdata.org/us/stocks/s-p-500/</t>
  </si>
  <si>
    <t>Data below shows Therms (Gas Usage), Heating &amp; Cooling Days, kWh Solar/Usage/Net (as reported by Powerwall), Net (as reported by Xcel), and Daily Peak Solar/Usage kWh … plus a bunch of cost data.</t>
  </si>
  <si>
    <t>Xcel data comes from their website as they provide data by month - note with Solar installed, you can (mostly) only see Net, since total usage includes some from Solar.</t>
  </si>
  <si>
    <t>I use Powerwall-Dashboard to get production/usage data from my Solar panels - this ROCKS and his highly recommended!</t>
  </si>
  <si>
    <t>Xcel Data Pre Solar (Solar started Sep/2023)</t>
  </si>
  <si>
    <t>COST</t>
  </si>
  <si>
    <t>Solar started Sep/2023</t>
  </si>
  <si>
    <t>Cost / (Therms * 29.3 KwH/Therm * 80% efficient furnace)</t>
  </si>
  <si>
    <t>Cents/kWh Equiv</t>
  </si>
  <si>
    <t>Data and Analysis of my Energy Usage and Solar System - can be easily used for yours!   ;-)</t>
  </si>
  <si>
    <t>Gas Cooktop (made in 1997- bought used via Craigslist in 2007) replaced with Induction in August/2024 - should see slight shift from Therms to kWh</t>
  </si>
  <si>
    <t>Last Updated: 12/11/2024</t>
  </si>
</sst>
</file>

<file path=xl/styles.xml><?xml version="1.0" encoding="utf-8"?>
<styleSheet xmlns="http://schemas.openxmlformats.org/spreadsheetml/2006/main">
  <numFmts count="5">
    <numFmt numFmtId="6" formatCode="&quot;$&quot;#,##0_);[Red]\(&quot;$&quot;#,##0\)"/>
    <numFmt numFmtId="164" formatCode="&quot;$&quot;#,##0"/>
    <numFmt numFmtId="165" formatCode="0.0%"/>
    <numFmt numFmtId="166" formatCode="0.0"/>
    <numFmt numFmtId="167" formatCode="&quot;$&quot;#,##0.00"/>
  </numFmts>
  <fonts count="19">
    <font>
      <sz val="11"/>
      <color theme="1"/>
      <name val="Calibri"/>
      <family val="2"/>
      <scheme val="minor"/>
    </font>
    <font>
      <b/>
      <u/>
      <sz val="11"/>
      <color theme="1"/>
      <name val="Calibri"/>
      <family val="2"/>
      <scheme val="minor"/>
    </font>
    <font>
      <b/>
      <u/>
      <sz val="14"/>
      <color theme="1"/>
      <name val="Calibri"/>
      <family val="2"/>
      <scheme val="minor"/>
    </font>
    <font>
      <b/>
      <sz val="11"/>
      <color theme="1"/>
      <name val="Calibri"/>
      <family val="2"/>
      <scheme val="minor"/>
    </font>
    <font>
      <b/>
      <u/>
      <sz val="13"/>
      <color theme="1"/>
      <name val="Calibri"/>
      <family val="2"/>
      <scheme val="minor"/>
    </font>
    <font>
      <b/>
      <u/>
      <sz val="16"/>
      <color theme="1"/>
      <name val="Calibri"/>
      <family val="2"/>
      <scheme val="minor"/>
    </font>
    <font>
      <b/>
      <sz val="14"/>
      <color theme="1"/>
      <name val="Calibri"/>
      <family val="2"/>
      <scheme val="minor"/>
    </font>
    <font>
      <b/>
      <u/>
      <sz val="18"/>
      <color theme="1"/>
      <name val="Calibri"/>
      <family val="2"/>
      <scheme val="minor"/>
    </font>
    <font>
      <b/>
      <u/>
      <sz val="12"/>
      <color theme="1"/>
      <name val="Calibri"/>
      <family val="2"/>
      <scheme val="minor"/>
    </font>
    <font>
      <sz val="12"/>
      <color theme="1"/>
      <name val="Calibri"/>
      <family val="2"/>
      <scheme val="minor"/>
    </font>
    <font>
      <i/>
      <sz val="11"/>
      <color theme="1"/>
      <name val="Calibri"/>
      <family val="2"/>
      <scheme val="minor"/>
    </font>
    <font>
      <b/>
      <sz val="13"/>
      <color theme="1"/>
      <name val="Calibri"/>
      <family val="2"/>
      <scheme val="minor"/>
    </font>
    <font>
      <vertAlign val="superscript"/>
      <sz val="11"/>
      <color theme="1"/>
      <name val="Calibri"/>
      <family val="2"/>
      <scheme val="minor"/>
    </font>
    <font>
      <sz val="10"/>
      <name val="Arial"/>
      <family val="2"/>
    </font>
    <font>
      <sz val="14"/>
      <color theme="1"/>
      <name val="Calibri"/>
      <family val="2"/>
      <scheme val="minor"/>
    </font>
    <font>
      <sz val="11"/>
      <name val="Calibri"/>
      <family val="2"/>
      <scheme val="minor"/>
    </font>
    <font>
      <b/>
      <u/>
      <sz val="22"/>
      <color theme="1"/>
      <name val="Calibri"/>
      <family val="2"/>
      <scheme val="minor"/>
    </font>
    <font>
      <b/>
      <sz val="12"/>
      <color theme="1"/>
      <name val="Calibri"/>
      <family val="2"/>
      <scheme val="minor"/>
    </font>
    <font>
      <b/>
      <sz val="24"/>
      <color theme="1"/>
      <name val="Calibri"/>
      <family val="2"/>
      <scheme val="minor"/>
    </font>
  </fonts>
  <fills count="7">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s>
  <borders count="2">
    <border>
      <left/>
      <right/>
      <top/>
      <bottom/>
      <diagonal/>
    </border>
    <border>
      <left/>
      <right/>
      <top/>
      <bottom style="thin">
        <color auto="1"/>
      </bottom>
      <diagonal/>
    </border>
  </borders>
  <cellStyleXfs count="1">
    <xf numFmtId="0" fontId="0" fillId="0" borderId="0"/>
  </cellStyleXfs>
  <cellXfs count="141">
    <xf numFmtId="0" fontId="0" fillId="0" borderId="0" xfId="0"/>
    <xf numFmtId="0" fontId="0" fillId="0" borderId="0" xfId="0" applyAlignment="1">
      <alignment horizontal="right"/>
    </xf>
    <xf numFmtId="164" fontId="0" fillId="0" borderId="0" xfId="0" applyNumberFormat="1"/>
    <xf numFmtId="0" fontId="1" fillId="0" borderId="0" xfId="0" applyFont="1" applyAlignment="1">
      <alignment horizontal="right"/>
    </xf>
    <xf numFmtId="0" fontId="3" fillId="0" borderId="0" xfId="0" applyFont="1" applyAlignment="1">
      <alignment horizontal="right"/>
    </xf>
    <xf numFmtId="0" fontId="3" fillId="0" borderId="0" xfId="0" applyFont="1"/>
    <xf numFmtId="0" fontId="3" fillId="0" borderId="0" xfId="0" applyFont="1" applyAlignment="1">
      <alignment horizontal="left"/>
    </xf>
    <xf numFmtId="0" fontId="5" fillId="0" borderId="0" xfId="0" applyFont="1"/>
    <xf numFmtId="6" fontId="0" fillId="0" borderId="0" xfId="0" applyNumberFormat="1"/>
    <xf numFmtId="0" fontId="0" fillId="0" borderId="0" xfId="0" applyAlignment="1">
      <alignment horizontal="left"/>
    </xf>
    <xf numFmtId="0" fontId="2" fillId="0" borderId="0" xfId="0" applyFont="1" applyAlignment="1">
      <alignment horizontal="right"/>
    </xf>
    <xf numFmtId="0" fontId="3" fillId="0" borderId="0" xfId="0" applyFont="1" applyAlignment="1">
      <alignment horizontal="center"/>
    </xf>
    <xf numFmtId="0" fontId="7" fillId="0" borderId="0" xfId="0" applyFont="1"/>
    <xf numFmtId="0" fontId="0" fillId="0" borderId="1" xfId="0" applyBorder="1" applyAlignment="1">
      <alignment horizontal="right"/>
    </xf>
    <xf numFmtId="0" fontId="0" fillId="0" borderId="1" xfId="0" applyBorder="1"/>
    <xf numFmtId="0" fontId="0" fillId="0" borderId="0" xfId="0" applyAlignment="1"/>
    <xf numFmtId="165" fontId="0" fillId="0" borderId="0" xfId="0" applyNumberFormat="1"/>
    <xf numFmtId="0" fontId="0" fillId="0" borderId="0" xfId="0" applyNumberFormat="1" applyAlignment="1">
      <alignment horizontal="right"/>
    </xf>
    <xf numFmtId="164" fontId="0" fillId="0" borderId="0" xfId="0" applyNumberFormat="1" applyAlignment="1">
      <alignment horizontal="right"/>
    </xf>
    <xf numFmtId="166" fontId="0" fillId="0" borderId="0" xfId="0" applyNumberFormat="1" applyAlignment="1">
      <alignment horizontal="right"/>
    </xf>
    <xf numFmtId="1" fontId="0" fillId="0" borderId="0" xfId="0" applyNumberFormat="1" applyAlignment="1">
      <alignment horizontal="right"/>
    </xf>
    <xf numFmtId="166" fontId="0" fillId="0" borderId="0" xfId="0" applyNumberFormat="1"/>
    <xf numFmtId="1" fontId="0" fillId="0" borderId="0" xfId="0" applyNumberFormat="1"/>
    <xf numFmtId="0" fontId="8" fillId="0" borderId="0" xfId="0" applyFont="1"/>
    <xf numFmtId="165" fontId="8" fillId="0" borderId="0" xfId="0" applyNumberFormat="1" applyFont="1"/>
    <xf numFmtId="0" fontId="0" fillId="0" borderId="0" xfId="0" applyNumberFormat="1"/>
    <xf numFmtId="0" fontId="0" fillId="0" borderId="0" xfId="0" applyFill="1" applyBorder="1" applyAlignment="1">
      <alignment horizontal="right"/>
    </xf>
    <xf numFmtId="6" fontId="0" fillId="0" borderId="0" xfId="0" applyNumberFormat="1" applyAlignment="1">
      <alignment horizontal="right"/>
    </xf>
    <xf numFmtId="165" fontId="0" fillId="0" borderId="0" xfId="0" applyNumberFormat="1" applyAlignment="1">
      <alignment horizontal="right"/>
    </xf>
    <xf numFmtId="1" fontId="3" fillId="0" borderId="0" xfId="0" applyNumberFormat="1" applyFont="1"/>
    <xf numFmtId="6" fontId="6" fillId="0" borderId="0" xfId="0" applyNumberFormat="1" applyFont="1"/>
    <xf numFmtId="0" fontId="8" fillId="0" borderId="0" xfId="0" applyNumberFormat="1" applyFont="1" applyAlignment="1">
      <alignment horizontal="right"/>
    </xf>
    <xf numFmtId="164" fontId="3" fillId="0" borderId="0" xfId="0" applyNumberFormat="1" applyFont="1" applyAlignment="1">
      <alignment horizontal="right"/>
    </xf>
    <xf numFmtId="165" fontId="3" fillId="0" borderId="0" xfId="0" applyNumberFormat="1" applyFont="1" applyAlignment="1">
      <alignment horizontal="right"/>
    </xf>
    <xf numFmtId="1" fontId="3" fillId="0" borderId="0" xfId="0" applyNumberFormat="1" applyFont="1" applyAlignment="1">
      <alignment horizontal="right"/>
    </xf>
    <xf numFmtId="166" fontId="3" fillId="0" borderId="0" xfId="0" applyNumberFormat="1" applyFont="1" applyAlignment="1">
      <alignment horizontal="right"/>
    </xf>
    <xf numFmtId="0" fontId="6" fillId="0" borderId="0" xfId="0" applyFont="1" applyAlignment="1">
      <alignment horizontal="left"/>
    </xf>
    <xf numFmtId="166" fontId="3" fillId="0" borderId="0" xfId="0" applyNumberFormat="1" applyFont="1"/>
    <xf numFmtId="3" fontId="3" fillId="0" borderId="0" xfId="0" applyNumberFormat="1" applyFont="1"/>
    <xf numFmtId="164" fontId="3" fillId="0" borderId="0" xfId="0" applyNumberFormat="1" applyFont="1"/>
    <xf numFmtId="0" fontId="8" fillId="0" borderId="0" xfId="0" applyFont="1" applyAlignment="1">
      <alignment horizontal="right"/>
    </xf>
    <xf numFmtId="0" fontId="10" fillId="0" borderId="0" xfId="0" applyFont="1"/>
    <xf numFmtId="0" fontId="10" fillId="0" borderId="1" xfId="0" applyFont="1" applyBorder="1"/>
    <xf numFmtId="6" fontId="3" fillId="0" borderId="0" xfId="0" applyNumberFormat="1" applyFont="1"/>
    <xf numFmtId="165" fontId="3" fillId="0" borderId="0" xfId="0" applyNumberFormat="1" applyFont="1"/>
    <xf numFmtId="6" fontId="6" fillId="3" borderId="0" xfId="0" applyNumberFormat="1" applyFont="1" applyFill="1"/>
    <xf numFmtId="0" fontId="0" fillId="3" borderId="0" xfId="0" applyFill="1"/>
    <xf numFmtId="1" fontId="6" fillId="2" borderId="0" xfId="0" applyNumberFormat="1" applyFont="1" applyFill="1"/>
    <xf numFmtId="0" fontId="1" fillId="0" borderId="0" xfId="0" applyFont="1"/>
    <xf numFmtId="0" fontId="1" fillId="0" borderId="0" xfId="0" applyFont="1" applyAlignment="1">
      <alignment horizontal="left"/>
    </xf>
    <xf numFmtId="0" fontId="10" fillId="0" borderId="0" xfId="0" applyFont="1" applyFill="1" applyBorder="1" applyAlignment="1">
      <alignment horizontal="left"/>
    </xf>
    <xf numFmtId="0" fontId="11" fillId="0" borderId="0" xfId="0" applyFont="1" applyAlignment="1">
      <alignment horizontal="right"/>
    </xf>
    <xf numFmtId="0" fontId="4" fillId="0" borderId="0" xfId="0" applyFont="1" applyAlignment="1">
      <alignment horizontal="left"/>
    </xf>
    <xf numFmtId="0" fontId="0" fillId="0" borderId="0" xfId="0" applyFont="1"/>
    <xf numFmtId="0" fontId="0" fillId="0" borderId="0" xfId="0" applyFont="1" applyAlignment="1">
      <alignment horizontal="right"/>
    </xf>
    <xf numFmtId="0" fontId="0" fillId="2" borderId="0" xfId="0" applyFill="1"/>
    <xf numFmtId="0" fontId="0" fillId="4" borderId="0" xfId="0" applyFill="1"/>
    <xf numFmtId="0" fontId="0" fillId="0" borderId="1" xfId="0" applyFont="1" applyBorder="1"/>
    <xf numFmtId="0" fontId="0" fillId="4" borderId="0" xfId="0" applyFont="1" applyFill="1" applyAlignment="1">
      <alignment horizontal="right"/>
    </xf>
    <xf numFmtId="0" fontId="0" fillId="5" borderId="0" xfId="0" applyFill="1" applyAlignment="1">
      <alignment horizontal="right"/>
    </xf>
    <xf numFmtId="0" fontId="13" fillId="0" borderId="0" xfId="0" applyFont="1"/>
    <xf numFmtId="0" fontId="14" fillId="0" borderId="0" xfId="0" applyFont="1"/>
    <xf numFmtId="0" fontId="15" fillId="0" borderId="0" xfId="0" applyFont="1"/>
    <xf numFmtId="0" fontId="16" fillId="0" borderId="0" xfId="0" applyFont="1"/>
    <xf numFmtId="0" fontId="8" fillId="0" borderId="0" xfId="0" applyFont="1" applyAlignment="1">
      <alignment horizontal="center"/>
    </xf>
    <xf numFmtId="2" fontId="3" fillId="0" borderId="0" xfId="0" applyNumberFormat="1" applyFont="1" applyAlignment="1">
      <alignment horizontal="right"/>
    </xf>
    <xf numFmtId="167" fontId="3" fillId="0" borderId="0" xfId="0" applyNumberFormat="1" applyFont="1" applyAlignment="1">
      <alignment horizontal="right"/>
    </xf>
    <xf numFmtId="167" fontId="0" fillId="0" borderId="0" xfId="0" applyNumberFormat="1" applyAlignment="1">
      <alignment horizontal="right"/>
    </xf>
    <xf numFmtId="9" fontId="0" fillId="0" borderId="0" xfId="0" applyNumberFormat="1" applyFont="1" applyAlignment="1">
      <alignment horizontal="right"/>
    </xf>
    <xf numFmtId="164" fontId="0" fillId="0" borderId="0" xfId="0" applyNumberFormat="1" applyFont="1" applyAlignment="1">
      <alignment horizontal="right"/>
    </xf>
    <xf numFmtId="2" fontId="0" fillId="0" borderId="0" xfId="0" applyNumberFormat="1" applyFont="1" applyAlignment="1">
      <alignment horizontal="right"/>
    </xf>
    <xf numFmtId="1" fontId="17" fillId="0" borderId="0" xfId="0" applyNumberFormat="1" applyFont="1"/>
    <xf numFmtId="0" fontId="17" fillId="0" borderId="0" xfId="0" applyFont="1" applyAlignment="1">
      <alignment horizontal="right"/>
    </xf>
    <xf numFmtId="164" fontId="17" fillId="0" borderId="0" xfId="0" applyNumberFormat="1" applyFont="1" applyAlignment="1">
      <alignment horizontal="right"/>
    </xf>
    <xf numFmtId="9" fontId="17" fillId="0" borderId="0" xfId="0" applyNumberFormat="1" applyFont="1" applyAlignment="1">
      <alignment horizontal="right"/>
    </xf>
    <xf numFmtId="167" fontId="17" fillId="0" borderId="0" xfId="0" applyNumberFormat="1" applyFont="1" applyAlignment="1">
      <alignment horizontal="right"/>
    </xf>
    <xf numFmtId="2" fontId="17" fillId="0" borderId="0" xfId="0" applyNumberFormat="1" applyFont="1" applyAlignment="1">
      <alignment horizontal="right"/>
    </xf>
    <xf numFmtId="1" fontId="17" fillId="0" borderId="0" xfId="0" applyNumberFormat="1" applyFont="1" applyAlignment="1">
      <alignment horizontal="right"/>
    </xf>
    <xf numFmtId="165" fontId="17" fillId="0" borderId="0" xfId="0" applyNumberFormat="1" applyFont="1" applyAlignment="1">
      <alignment horizontal="right"/>
    </xf>
    <xf numFmtId="166" fontId="17" fillId="0" borderId="0" xfId="0" applyNumberFormat="1" applyFont="1" applyAlignment="1">
      <alignment horizontal="right"/>
    </xf>
    <xf numFmtId="0" fontId="17" fillId="0" borderId="0" xfId="0" applyFont="1"/>
    <xf numFmtId="0" fontId="9" fillId="0" borderId="0" xfId="0" applyFont="1"/>
    <xf numFmtId="1" fontId="0" fillId="0" borderId="0" xfId="0" applyNumberFormat="1" applyFont="1"/>
    <xf numFmtId="167" fontId="0" fillId="0" borderId="0" xfId="0" applyNumberFormat="1" applyFont="1" applyAlignment="1">
      <alignment horizontal="right"/>
    </xf>
    <xf numFmtId="1" fontId="0" fillId="0" borderId="0" xfId="0" applyNumberFormat="1" applyFont="1" applyAlignment="1">
      <alignment horizontal="right"/>
    </xf>
    <xf numFmtId="165" fontId="0" fillId="0" borderId="0" xfId="0" applyNumberFormat="1" applyFont="1" applyAlignment="1">
      <alignment horizontal="right"/>
    </xf>
    <xf numFmtId="166" fontId="0" fillId="0" borderId="0" xfId="0" applyNumberFormat="1" applyFont="1" applyAlignment="1">
      <alignment horizontal="right"/>
    </xf>
    <xf numFmtId="6" fontId="17" fillId="0" borderId="0" xfId="0" applyNumberFormat="1" applyFont="1"/>
    <xf numFmtId="10" fontId="17" fillId="0" borderId="0" xfId="0" applyNumberFormat="1" applyFont="1" applyAlignment="1">
      <alignment horizontal="right"/>
    </xf>
    <xf numFmtId="10" fontId="3" fillId="0" borderId="0" xfId="0" applyNumberFormat="1" applyFont="1" applyAlignment="1">
      <alignment horizontal="right"/>
    </xf>
    <xf numFmtId="10" fontId="0" fillId="0" borderId="0" xfId="0" applyNumberFormat="1" applyFont="1" applyAlignment="1">
      <alignment horizontal="right"/>
    </xf>
    <xf numFmtId="10" fontId="0" fillId="0" borderId="0" xfId="0" applyNumberFormat="1" applyAlignment="1">
      <alignment horizontal="right"/>
    </xf>
    <xf numFmtId="0" fontId="3" fillId="0" borderId="0" xfId="0" applyFont="1" applyFill="1" applyBorder="1" applyAlignment="1">
      <alignment horizontal="right"/>
    </xf>
    <xf numFmtId="0" fontId="17" fillId="0" borderId="0" xfId="0" applyFont="1" applyAlignment="1">
      <alignment horizontal="left"/>
    </xf>
    <xf numFmtId="165" fontId="0" fillId="0" borderId="1" xfId="0" applyNumberFormat="1" applyBorder="1"/>
    <xf numFmtId="0" fontId="2" fillId="0" borderId="0" xfId="0" applyFont="1"/>
    <xf numFmtId="2" fontId="0" fillId="0" borderId="0" xfId="0" applyNumberFormat="1"/>
    <xf numFmtId="10" fontId="0" fillId="0" borderId="0" xfId="0" applyNumberFormat="1"/>
    <xf numFmtId="2" fontId="0" fillId="0" borderId="0" xfId="0" applyNumberFormat="1" applyAlignment="1">
      <alignment horizontal="right"/>
    </xf>
    <xf numFmtId="0" fontId="6" fillId="0" borderId="0" xfId="0" applyFont="1"/>
    <xf numFmtId="9" fontId="3" fillId="0" borderId="0" xfId="0" applyNumberFormat="1" applyFont="1" applyAlignment="1">
      <alignment horizontal="right"/>
    </xf>
    <xf numFmtId="9" fontId="0" fillId="0" borderId="0" xfId="0" applyNumberFormat="1" applyAlignment="1">
      <alignment horizontal="right"/>
    </xf>
    <xf numFmtId="9" fontId="3" fillId="0" borderId="0" xfId="0" applyNumberFormat="1" applyFont="1"/>
    <xf numFmtId="9" fontId="0" fillId="0" borderId="0" xfId="0" applyNumberFormat="1"/>
    <xf numFmtId="0" fontId="0" fillId="0" borderId="0" xfId="0" applyFont="1" applyFill="1" applyAlignment="1">
      <alignment horizontal="left"/>
    </xf>
    <xf numFmtId="0" fontId="0" fillId="6" borderId="0" xfId="0" applyFill="1"/>
    <xf numFmtId="0" fontId="0" fillId="6" borderId="0" xfId="0" applyFill="1" applyAlignment="1">
      <alignment horizontal="right"/>
    </xf>
    <xf numFmtId="0" fontId="0" fillId="6" borderId="0" xfId="0" applyFont="1" applyFill="1"/>
    <xf numFmtId="0" fontId="3" fillId="5" borderId="0" xfId="0" applyFont="1" applyFill="1" applyAlignment="1">
      <alignment horizontal="left"/>
    </xf>
    <xf numFmtId="0" fontId="17" fillId="6" borderId="0" xfId="0" applyFont="1" applyFill="1"/>
    <xf numFmtId="0" fontId="2" fillId="0" borderId="0" xfId="0" applyFont="1" applyAlignment="1">
      <alignment horizontal="center"/>
    </xf>
    <xf numFmtId="0" fontId="2" fillId="0" borderId="0" xfId="0" applyFont="1"/>
    <xf numFmtId="0" fontId="4" fillId="0" borderId="0" xfId="0" applyFont="1" applyAlignment="1">
      <alignment horizontal="center"/>
    </xf>
    <xf numFmtId="0" fontId="2" fillId="0" borderId="0" xfId="0" applyFont="1" applyAlignment="1">
      <alignment horizontal="center"/>
    </xf>
    <xf numFmtId="2" fontId="0" fillId="0" borderId="0" xfId="0" applyNumberFormat="1" applyFill="1" applyAlignment="1">
      <alignment horizontal="right"/>
    </xf>
    <xf numFmtId="2" fontId="0" fillId="0" borderId="1" xfId="0" applyNumberFormat="1" applyFill="1" applyBorder="1" applyAlignment="1">
      <alignment horizontal="right"/>
    </xf>
    <xf numFmtId="9" fontId="0" fillId="0" borderId="1" xfId="0" applyNumberFormat="1" applyBorder="1" applyAlignment="1">
      <alignment horizontal="right"/>
    </xf>
    <xf numFmtId="164" fontId="0" fillId="0" borderId="1" xfId="0" applyNumberFormat="1" applyBorder="1"/>
    <xf numFmtId="9" fontId="8" fillId="0" borderId="0" xfId="0" applyNumberFormat="1" applyFont="1" applyAlignment="1">
      <alignment horizontal="right"/>
    </xf>
    <xf numFmtId="0" fontId="4" fillId="0" borderId="0" xfId="0" applyFont="1" applyAlignment="1">
      <alignment horizontal="right"/>
    </xf>
    <xf numFmtId="0" fontId="0" fillId="0" borderId="0" xfId="0" applyBorder="1" applyAlignment="1">
      <alignment horizontal="right"/>
    </xf>
    <xf numFmtId="0" fontId="2" fillId="0" borderId="0" xfId="0" applyFont="1"/>
    <xf numFmtId="0" fontId="4" fillId="0" borderId="0" xfId="0" applyFont="1" applyAlignment="1">
      <alignment horizontal="center"/>
    </xf>
    <xf numFmtId="2" fontId="0" fillId="0" borderId="0" xfId="0" applyNumberFormat="1" applyFont="1"/>
    <xf numFmtId="2" fontId="0" fillId="0" borderId="1" xfId="0" applyNumberFormat="1" applyFont="1" applyBorder="1"/>
    <xf numFmtId="9" fontId="0" fillId="0" borderId="1" xfId="0" applyNumberFormat="1" applyBorder="1"/>
    <xf numFmtId="0" fontId="0" fillId="0" borderId="0" xfId="0" applyBorder="1"/>
    <xf numFmtId="0" fontId="0" fillId="6" borderId="1" xfId="0" applyFill="1" applyBorder="1" applyAlignment="1">
      <alignment horizontal="right"/>
    </xf>
    <xf numFmtId="10" fontId="3" fillId="0" borderId="0" xfId="0" applyNumberFormat="1" applyFont="1"/>
    <xf numFmtId="0" fontId="0" fillId="0" borderId="0" xfId="0" applyFont="1" applyAlignment="1">
      <alignment horizontal="left"/>
    </xf>
    <xf numFmtId="4" fontId="0" fillId="0" borderId="0" xfId="0" applyNumberFormat="1" applyAlignment="1">
      <alignment horizontal="right"/>
    </xf>
    <xf numFmtId="0" fontId="2" fillId="0" borderId="0" xfId="0" applyFont="1" applyAlignment="1">
      <alignment horizontal="left"/>
    </xf>
    <xf numFmtId="0" fontId="2" fillId="0" borderId="0" xfId="0" applyFont="1"/>
    <xf numFmtId="0" fontId="4" fillId="0" borderId="0" xfId="0" applyFont="1" applyAlignment="1">
      <alignment horizontal="center"/>
    </xf>
    <xf numFmtId="0" fontId="2" fillId="0" borderId="0" xfId="0" applyFont="1" applyAlignment="1">
      <alignment horizontal="center"/>
    </xf>
    <xf numFmtId="0" fontId="3" fillId="2" borderId="0" xfId="0" applyFont="1" applyFill="1" applyAlignment="1">
      <alignment horizontal="left"/>
    </xf>
    <xf numFmtId="0" fontId="17" fillId="0" borderId="0" xfId="0" applyFont="1" applyAlignment="1">
      <alignment horizontal="center"/>
    </xf>
    <xf numFmtId="0" fontId="18" fillId="0" borderId="0" xfId="0" applyFont="1" applyAlignment="1">
      <alignment horizontal="center"/>
    </xf>
    <xf numFmtId="0" fontId="18" fillId="0" borderId="0" xfId="0" applyFont="1" applyAlignment="1"/>
    <xf numFmtId="0" fontId="6" fillId="0" borderId="0" xfId="0" applyFont="1" applyAlignment="1">
      <alignment horizontal="center"/>
    </xf>
    <xf numFmtId="0" fontId="8" fillId="0" borderId="0" xfId="0" applyFont="1" applyAlignment="1">
      <alignment horizontal="center"/>
    </xf>
  </cellXfs>
  <cellStyles count="1">
    <cellStyle name="Normal" xfId="0" builtinId="0"/>
  </cellStyles>
  <dxfs count="2">
    <dxf>
      <fill>
        <patternFill>
          <bgColor rgb="FF00B050"/>
        </patternFill>
      </fill>
    </dxf>
    <dxf>
      <fill>
        <patternFill>
          <bgColor rgb="FF92D05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1" i="0" u="sng" strike="noStrike" kern="1200" baseline="0">
                <a:solidFill>
                  <a:sysClr val="windowText" lastClr="000000"/>
                </a:solidFill>
                <a:latin typeface="+mn-lt"/>
                <a:ea typeface="+mn-ea"/>
                <a:cs typeface="+mn-cs"/>
              </a:defRPr>
            </a:pPr>
            <a:r>
              <a:rPr lang="en-US" sz="2000" b="1" i="0" u="sng" baseline="0"/>
              <a:t>Predicted Monthly kWh Solar Production - Total (black) and per Array (colored)</a:t>
            </a:r>
            <a:endParaRPr lang="en-US" sz="2000" u="sng" baseline="0"/>
          </a:p>
        </c:rich>
      </c:tx>
      <c:layout>
        <c:manualLayout>
          <c:xMode val="edge"/>
          <c:yMode val="edge"/>
          <c:x val="0.15554783219525145"/>
          <c:y val="5.7559658821398733E-2"/>
        </c:manualLayout>
      </c:layout>
    </c:title>
    <c:plotArea>
      <c:layout>
        <c:manualLayout>
          <c:layoutTarget val="inner"/>
          <c:xMode val="edge"/>
          <c:yMode val="edge"/>
          <c:x val="0"/>
          <c:y val="0.16089168384153324"/>
          <c:w val="0.99897119341563789"/>
          <c:h val="0.78530148496538599"/>
        </c:manualLayout>
      </c:layout>
      <c:barChart>
        <c:barDir val="col"/>
        <c:grouping val="clustered"/>
        <c:ser>
          <c:idx val="3"/>
          <c:order val="0"/>
          <c:tx>
            <c:v>Total</c:v>
          </c:tx>
          <c:spPr>
            <a:solidFill>
              <a:schemeClr val="tx1"/>
            </a:solidFill>
            <a:ln w="38100">
              <a:noFill/>
            </a:ln>
          </c:spP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Prod'!$B$14:$B$25</c:f>
              <c:numCache>
                <c:formatCode>General</c:formatCode>
                <c:ptCount val="12"/>
                <c:pt idx="0">
                  <c:v>444</c:v>
                </c:pt>
                <c:pt idx="1">
                  <c:v>553</c:v>
                </c:pt>
                <c:pt idx="2">
                  <c:v>797</c:v>
                </c:pt>
                <c:pt idx="3">
                  <c:v>921</c:v>
                </c:pt>
                <c:pt idx="4">
                  <c:v>1026</c:v>
                </c:pt>
                <c:pt idx="5">
                  <c:v>1073</c:v>
                </c:pt>
                <c:pt idx="6">
                  <c:v>1009</c:v>
                </c:pt>
                <c:pt idx="7">
                  <c:v>956</c:v>
                </c:pt>
                <c:pt idx="8">
                  <c:v>812</c:v>
                </c:pt>
                <c:pt idx="9">
                  <c:v>620</c:v>
                </c:pt>
                <c:pt idx="10">
                  <c:v>490</c:v>
                </c:pt>
                <c:pt idx="11">
                  <c:v>416</c:v>
                </c:pt>
              </c:numCache>
            </c:numRef>
          </c:val>
        </c:ser>
        <c:ser>
          <c:idx val="6"/>
          <c:order val="1"/>
          <c:tx>
            <c:strRef>
              <c:f>'Pred Prod'!$C$12</c:f>
              <c:strCache>
                <c:ptCount val="1"/>
                <c:pt idx="0">
                  <c:v>2x400@192°</c:v>
                </c:pt>
              </c:strCache>
            </c:strRef>
          </c:tx>
          <c:spPr>
            <a:solidFill>
              <a:srgbClr val="C00000"/>
            </a:solidFill>
            <a:ln w="25400">
              <a:noFill/>
              <a:prstDash val="solid"/>
            </a:ln>
          </c:spP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Prod'!$C$14:$C$25</c:f>
              <c:numCache>
                <c:formatCode>General</c:formatCode>
                <c:ptCount val="12"/>
                <c:pt idx="0">
                  <c:v>75</c:v>
                </c:pt>
                <c:pt idx="1">
                  <c:v>84</c:v>
                </c:pt>
                <c:pt idx="2">
                  <c:v>108</c:v>
                </c:pt>
                <c:pt idx="3">
                  <c:v>114</c:v>
                </c:pt>
                <c:pt idx="4">
                  <c:v>117</c:v>
                </c:pt>
                <c:pt idx="5">
                  <c:v>119</c:v>
                </c:pt>
                <c:pt idx="6">
                  <c:v>115</c:v>
                </c:pt>
                <c:pt idx="7">
                  <c:v>115</c:v>
                </c:pt>
                <c:pt idx="8">
                  <c:v>106</c:v>
                </c:pt>
                <c:pt idx="9">
                  <c:v>91</c:v>
                </c:pt>
                <c:pt idx="10">
                  <c:v>81</c:v>
                </c:pt>
                <c:pt idx="11">
                  <c:v>74</c:v>
                </c:pt>
              </c:numCache>
            </c:numRef>
          </c:val>
        </c:ser>
        <c:ser>
          <c:idx val="5"/>
          <c:order val="2"/>
          <c:tx>
            <c:strRef>
              <c:f>'Pred Prod'!$D$12</c:f>
              <c:strCache>
                <c:ptCount val="1"/>
                <c:pt idx="0">
                  <c:v>8x400@102°</c:v>
                </c:pt>
              </c:strCache>
            </c:strRef>
          </c:tx>
          <c:spPr>
            <a:solidFill>
              <a:srgbClr val="00B050"/>
            </a:solidFill>
            <a:ln w="25400">
              <a:noFill/>
              <a:prstDash val="solid"/>
            </a:ln>
          </c:spP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Prod'!$D$14:$D$25</c:f>
              <c:numCache>
                <c:formatCode>General</c:formatCode>
                <c:ptCount val="12"/>
                <c:pt idx="0">
                  <c:v>208</c:v>
                </c:pt>
                <c:pt idx="1">
                  <c:v>254</c:v>
                </c:pt>
                <c:pt idx="2">
                  <c:v>369</c:v>
                </c:pt>
                <c:pt idx="3">
                  <c:v>422</c:v>
                </c:pt>
                <c:pt idx="4">
                  <c:v>485</c:v>
                </c:pt>
                <c:pt idx="5">
                  <c:v>496</c:v>
                </c:pt>
                <c:pt idx="6">
                  <c:v>488</c:v>
                </c:pt>
                <c:pt idx="7">
                  <c:v>454</c:v>
                </c:pt>
                <c:pt idx="8">
                  <c:v>378</c:v>
                </c:pt>
                <c:pt idx="9">
                  <c:v>287</c:v>
                </c:pt>
                <c:pt idx="10">
                  <c:v>228</c:v>
                </c:pt>
                <c:pt idx="11">
                  <c:v>197</c:v>
                </c:pt>
              </c:numCache>
            </c:numRef>
          </c:val>
        </c:ser>
        <c:ser>
          <c:idx val="0"/>
          <c:order val="3"/>
          <c:tx>
            <c:strRef>
              <c:f>'Pred Prod'!$E$12</c:f>
              <c:strCache>
                <c:ptCount val="1"/>
                <c:pt idx="0">
                  <c:v>8x400@282°</c:v>
                </c:pt>
              </c:strCache>
            </c:strRef>
          </c:tx>
          <c:spPr>
            <a:solidFill>
              <a:schemeClr val="accent1"/>
            </a:solidFill>
            <a:ln>
              <a:noFill/>
            </a:ln>
          </c:spPr>
          <c:val>
            <c:numRef>
              <c:f>'Pred Prod'!$E$14:$E$25</c:f>
              <c:numCache>
                <c:formatCode>General</c:formatCode>
                <c:ptCount val="12"/>
                <c:pt idx="0">
                  <c:v>161</c:v>
                </c:pt>
                <c:pt idx="1">
                  <c:v>215</c:v>
                </c:pt>
                <c:pt idx="2">
                  <c:v>320</c:v>
                </c:pt>
                <c:pt idx="3">
                  <c:v>385</c:v>
                </c:pt>
                <c:pt idx="4">
                  <c:v>424</c:v>
                </c:pt>
                <c:pt idx="5">
                  <c:v>458</c:v>
                </c:pt>
                <c:pt idx="6">
                  <c:v>406</c:v>
                </c:pt>
                <c:pt idx="7">
                  <c:v>387</c:v>
                </c:pt>
                <c:pt idx="8">
                  <c:v>328</c:v>
                </c:pt>
                <c:pt idx="9">
                  <c:v>242</c:v>
                </c:pt>
                <c:pt idx="10">
                  <c:v>181</c:v>
                </c:pt>
                <c:pt idx="11">
                  <c:v>145</c:v>
                </c:pt>
              </c:numCache>
            </c:numRef>
          </c:val>
        </c:ser>
        <c:dLbls>
          <c:showVal val="1"/>
        </c:dLbls>
        <c:overlap val="-25"/>
        <c:axId val="179232768"/>
        <c:axId val="179234304"/>
      </c:barChart>
      <c:catAx>
        <c:axId val="179232768"/>
        <c:scaling>
          <c:orientation val="minMax"/>
        </c:scaling>
        <c:axPos val="b"/>
        <c:majorTickMark val="none"/>
        <c:tickLblPos val="nextTo"/>
        <c:spPr>
          <a:noFill/>
          <a:ln>
            <a:solidFill>
              <a:schemeClr val="tx1"/>
            </a:solidFill>
          </a:ln>
        </c:spPr>
        <c:crossAx val="179234304"/>
        <c:crossesAt val="-300"/>
        <c:auto val="1"/>
        <c:lblAlgn val="ctr"/>
        <c:lblOffset val="100"/>
      </c:catAx>
      <c:valAx>
        <c:axId val="179234304"/>
        <c:scaling>
          <c:orientation val="minMax"/>
          <c:max val="1200"/>
          <c:min val="-300"/>
        </c:scaling>
        <c:delete val="1"/>
        <c:axPos val="l"/>
        <c:numFmt formatCode="General" sourceLinked="1"/>
        <c:majorTickMark val="none"/>
        <c:tickLblPos val="none"/>
        <c:crossAx val="179232768"/>
        <c:crosses val="autoZero"/>
        <c:crossBetween val="between"/>
        <c:majorUnit val="300"/>
      </c:valAx>
    </c:plotArea>
    <c:legend>
      <c:legendPos val="t"/>
      <c:layout>
        <c:manualLayout>
          <c:xMode val="edge"/>
          <c:yMode val="edge"/>
          <c:x val="0.30588827719149636"/>
          <c:y val="0.12935567610456117"/>
          <c:w val="0.37784243587839095"/>
          <c:h val="5.1272877803026334E-2"/>
        </c:manualLayout>
      </c:layout>
      <c:spPr>
        <a:ln>
          <a:noFill/>
          <a:prstDash val="dash"/>
        </a:ln>
      </c:spPr>
      <c:txPr>
        <a:bodyPr/>
        <a:lstStyle/>
        <a:p>
          <a:pPr>
            <a:defRPr sz="1400" baseline="0"/>
          </a:pPr>
          <a:endParaRPr lang="en-US"/>
        </a:p>
      </c:txPr>
    </c:legend>
    <c:plotVisOnly val="1"/>
  </c:chart>
  <c:spPr>
    <a:ln>
      <a:noFill/>
    </a:ln>
  </c:spPr>
  <c:printSettings>
    <c:headerFooter/>
    <c:pageMargins b="0.75000000000000877" l="0.70000000000000062" r="0.70000000000000062" t="0.75000000000000877"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u="sng"/>
            </a:pPr>
            <a:r>
              <a:rPr lang="en-US" sz="2000" u="sng"/>
              <a:t>Capacity</a:t>
            </a:r>
            <a:r>
              <a:rPr lang="en-US" sz="2000" u="sng" baseline="0"/>
              <a:t> Factor by Month - Total (black) and per Array (colored)</a:t>
            </a:r>
          </a:p>
        </c:rich>
      </c:tx>
    </c:title>
    <c:plotArea>
      <c:layout>
        <c:manualLayout>
          <c:layoutTarget val="inner"/>
          <c:xMode val="edge"/>
          <c:yMode val="edge"/>
          <c:x val="3.1007751937984496E-3"/>
          <c:y val="0.15859958780320396"/>
          <c:w val="0.9948320413436651"/>
          <c:h val="0.7853564445383926"/>
        </c:manualLayout>
      </c:layout>
      <c:barChart>
        <c:barDir val="col"/>
        <c:grouping val="clustered"/>
        <c:ser>
          <c:idx val="3"/>
          <c:order val="0"/>
          <c:tx>
            <c:v>Total</c:v>
          </c:tx>
          <c:spPr>
            <a:solidFill>
              <a:schemeClr val="tx1"/>
            </a:solidFill>
            <a:ln w="38100">
              <a:noFill/>
            </a:ln>
          </c:spP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Prod'!$B$34:$B$45</c:f>
              <c:numCache>
                <c:formatCode>0.0%</c:formatCode>
                <c:ptCount val="12"/>
                <c:pt idx="0">
                  <c:v>8.2885304659498213E-2</c:v>
                </c:pt>
                <c:pt idx="1">
                  <c:v>0.11429398148148148</c:v>
                </c:pt>
                <c:pt idx="2">
                  <c:v>0.14878285543608125</c:v>
                </c:pt>
                <c:pt idx="3">
                  <c:v>0.17766203703703703</c:v>
                </c:pt>
                <c:pt idx="4">
                  <c:v>0.19153225806451613</c:v>
                </c:pt>
                <c:pt idx="5">
                  <c:v>0.20698302469135801</c:v>
                </c:pt>
                <c:pt idx="6">
                  <c:v>0.18835872162485065</c:v>
                </c:pt>
                <c:pt idx="7">
                  <c:v>0.1784647550776583</c:v>
                </c:pt>
                <c:pt idx="8">
                  <c:v>0.1566358024691358</c:v>
                </c:pt>
                <c:pt idx="9">
                  <c:v>0.11574074074074074</c:v>
                </c:pt>
                <c:pt idx="10">
                  <c:v>9.4521604938271608E-2</c:v>
                </c:pt>
                <c:pt idx="11">
                  <c:v>7.765830346475508E-2</c:v>
                </c:pt>
              </c:numCache>
            </c:numRef>
          </c:val>
        </c:ser>
        <c:ser>
          <c:idx val="6"/>
          <c:order val="1"/>
          <c:tx>
            <c:strRef>
              <c:f>'Pred Prod'!$C$12</c:f>
              <c:strCache>
                <c:ptCount val="1"/>
                <c:pt idx="0">
                  <c:v>2x400@192°</c:v>
                </c:pt>
              </c:strCache>
            </c:strRef>
          </c:tx>
          <c:spPr>
            <a:solidFill>
              <a:srgbClr val="C00000"/>
            </a:solidFill>
            <a:ln w="25400">
              <a:noFill/>
              <a:prstDash val="solid"/>
            </a:ln>
          </c:spPr>
          <c:dLbls>
            <c:txPr>
              <a:bodyPr/>
              <a:lstStyle/>
              <a:p>
                <a:pPr>
                  <a:defRPr sz="1000" baseline="0"/>
                </a:pPr>
                <a:endParaRPr lang="en-US"/>
              </a:p>
            </c:txPr>
            <c:showVal val="1"/>
          </c:dLbls>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Prod'!$C$34:$C$45</c:f>
              <c:numCache>
                <c:formatCode>0.0%</c:formatCode>
                <c:ptCount val="12"/>
                <c:pt idx="0">
                  <c:v>0.12600806451612903</c:v>
                </c:pt>
                <c:pt idx="1">
                  <c:v>0.15625</c:v>
                </c:pt>
                <c:pt idx="2">
                  <c:v>0.18145161290322581</c:v>
                </c:pt>
                <c:pt idx="3">
                  <c:v>0.19791666666666666</c:v>
                </c:pt>
                <c:pt idx="4">
                  <c:v>0.19657258064516128</c:v>
                </c:pt>
                <c:pt idx="5">
                  <c:v>0.20659722222222221</c:v>
                </c:pt>
                <c:pt idx="6">
                  <c:v>0.19321236559139784</c:v>
                </c:pt>
                <c:pt idx="7">
                  <c:v>0.19321236559139784</c:v>
                </c:pt>
                <c:pt idx="8">
                  <c:v>0.18402777777777779</c:v>
                </c:pt>
                <c:pt idx="9">
                  <c:v>0.15288978494623656</c:v>
                </c:pt>
                <c:pt idx="10">
                  <c:v>0.140625</c:v>
                </c:pt>
                <c:pt idx="11">
                  <c:v>0.12432795698924731</c:v>
                </c:pt>
              </c:numCache>
            </c:numRef>
          </c:val>
        </c:ser>
        <c:ser>
          <c:idx val="5"/>
          <c:order val="2"/>
          <c:tx>
            <c:strRef>
              <c:f>'Pred Prod'!$D$12</c:f>
              <c:strCache>
                <c:ptCount val="1"/>
                <c:pt idx="0">
                  <c:v>8x400@102°</c:v>
                </c:pt>
              </c:strCache>
            </c:strRef>
          </c:tx>
          <c:spPr>
            <a:solidFill>
              <a:srgbClr val="00B050"/>
            </a:solidFill>
            <a:ln w="25400">
              <a:noFill/>
              <a:prstDash val="solid"/>
            </a:ln>
          </c:spP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Prod'!$D$34:$D$45</c:f>
              <c:numCache>
                <c:formatCode>0.0%</c:formatCode>
                <c:ptCount val="12"/>
                <c:pt idx="0">
                  <c:v>8.7365591397849468E-2</c:v>
                </c:pt>
                <c:pt idx="1">
                  <c:v>0.11811755952380952</c:v>
                </c:pt>
                <c:pt idx="2">
                  <c:v>0.15498991935483872</c:v>
                </c:pt>
                <c:pt idx="3">
                  <c:v>0.18315972222222221</c:v>
                </c:pt>
                <c:pt idx="4">
                  <c:v>0.20371303763440859</c:v>
                </c:pt>
                <c:pt idx="5">
                  <c:v>0.21527777777777779</c:v>
                </c:pt>
                <c:pt idx="6">
                  <c:v>0.2049731182795699</c:v>
                </c:pt>
                <c:pt idx="7">
                  <c:v>0.19069220430107528</c:v>
                </c:pt>
                <c:pt idx="8">
                  <c:v>0.1640625</c:v>
                </c:pt>
                <c:pt idx="9">
                  <c:v>0.12054771505376344</c:v>
                </c:pt>
                <c:pt idx="10">
                  <c:v>9.8958333333333329E-2</c:v>
                </c:pt>
                <c:pt idx="11">
                  <c:v>8.2745295698924734E-2</c:v>
                </c:pt>
              </c:numCache>
            </c:numRef>
          </c:val>
        </c:ser>
        <c:ser>
          <c:idx val="0"/>
          <c:order val="3"/>
          <c:tx>
            <c:strRef>
              <c:f>'Pred Prod'!$E$12</c:f>
              <c:strCache>
                <c:ptCount val="1"/>
                <c:pt idx="0">
                  <c:v>8x400@282°</c:v>
                </c:pt>
              </c:strCache>
            </c:strRef>
          </c:tx>
          <c:spPr>
            <a:solidFill>
              <a:srgbClr val="0070C0"/>
            </a:solidFill>
            <a:ln>
              <a:noFill/>
            </a:ln>
          </c:spPr>
          <c:val>
            <c:numRef>
              <c:f>'Pred Prod'!$E$34:$E$45</c:f>
              <c:numCache>
                <c:formatCode>0.0%</c:formatCode>
                <c:ptCount val="12"/>
                <c:pt idx="0">
                  <c:v>6.762432795698925E-2</c:v>
                </c:pt>
                <c:pt idx="1">
                  <c:v>9.9981398809523808E-2</c:v>
                </c:pt>
                <c:pt idx="2">
                  <c:v>0.13440860215053763</c:v>
                </c:pt>
                <c:pt idx="3">
                  <c:v>0.16710069444444445</c:v>
                </c:pt>
                <c:pt idx="4">
                  <c:v>0.17809139784946237</c:v>
                </c:pt>
                <c:pt idx="5">
                  <c:v>0.19878472222222221</c:v>
                </c:pt>
                <c:pt idx="6">
                  <c:v>0.17053091397849462</c:v>
                </c:pt>
                <c:pt idx="7">
                  <c:v>0.16255040322580644</c:v>
                </c:pt>
                <c:pt idx="8">
                  <c:v>0.1423611111111111</c:v>
                </c:pt>
                <c:pt idx="9">
                  <c:v>0.10164650537634409</c:v>
                </c:pt>
                <c:pt idx="10">
                  <c:v>7.8559027777777776E-2</c:v>
                </c:pt>
                <c:pt idx="11">
                  <c:v>6.0903897849462367E-2</c:v>
                </c:pt>
              </c:numCache>
            </c:numRef>
          </c:val>
        </c:ser>
        <c:dLbls>
          <c:showVal val="1"/>
        </c:dLbls>
        <c:overlap val="-25"/>
        <c:axId val="178910720"/>
        <c:axId val="178912256"/>
      </c:barChart>
      <c:catAx>
        <c:axId val="178910720"/>
        <c:scaling>
          <c:orientation val="minMax"/>
        </c:scaling>
        <c:axPos val="b"/>
        <c:majorTickMark val="none"/>
        <c:tickLblPos val="nextTo"/>
        <c:spPr>
          <a:ln>
            <a:solidFill>
              <a:schemeClr val="tx1"/>
            </a:solidFill>
          </a:ln>
        </c:spPr>
        <c:crossAx val="178912256"/>
        <c:crossesAt val="-300"/>
        <c:auto val="1"/>
        <c:lblAlgn val="ctr"/>
        <c:lblOffset val="100"/>
      </c:catAx>
      <c:valAx>
        <c:axId val="178912256"/>
        <c:scaling>
          <c:orientation val="minMax"/>
          <c:max val="0.25"/>
          <c:min val="0"/>
        </c:scaling>
        <c:delete val="1"/>
        <c:axPos val="l"/>
        <c:numFmt formatCode="0.0%" sourceLinked="1"/>
        <c:majorTickMark val="none"/>
        <c:tickLblPos val="none"/>
        <c:crossAx val="178910720"/>
        <c:crosses val="autoZero"/>
        <c:crossBetween val="between"/>
        <c:majorUnit val="0.05"/>
      </c:valAx>
    </c:plotArea>
    <c:legend>
      <c:legendPos val="t"/>
      <c:layout>
        <c:manualLayout>
          <c:xMode val="edge"/>
          <c:yMode val="edge"/>
          <c:x val="0.30513048717928154"/>
          <c:y val="0.10508957353485177"/>
          <c:w val="0.37525588515499936"/>
          <c:h val="5.1272877803026334E-2"/>
        </c:manualLayout>
      </c:layout>
      <c:txPr>
        <a:bodyPr/>
        <a:lstStyle/>
        <a:p>
          <a:pPr>
            <a:defRPr sz="1400" baseline="0"/>
          </a:pPr>
          <a:endParaRPr lang="en-US"/>
        </a:p>
      </c:txPr>
    </c:legend>
    <c:plotVisOnly val="1"/>
  </c:chart>
  <c:spPr>
    <a:ln>
      <a:noFill/>
    </a:ln>
  </c:spPr>
  <c:printSettings>
    <c:headerFooter/>
    <c:pageMargins b="0.75000000000000899" l="0.70000000000000062" r="0.70000000000000062" t="0.75000000000000899"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marL="0" marR="0" indent="0" algn="l"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sz="2000" b="1" i="0" baseline="0"/>
              <a:t>Solar Production (solid), Home Usage (dashed), and Net (dotted) in Kilowatt-hours</a:t>
            </a:r>
            <a:endParaRPr lang="en-US" sz="2000" baseline="0"/>
          </a:p>
        </c:rich>
      </c:tx>
      <c:layout>
        <c:manualLayout>
          <c:xMode val="edge"/>
          <c:yMode val="edge"/>
          <c:x val="0.13202378370705664"/>
          <c:y val="4.6882918704929326E-2"/>
        </c:manualLayout>
      </c:layout>
    </c:title>
    <c:plotArea>
      <c:layout>
        <c:manualLayout>
          <c:layoutTarget val="inner"/>
          <c:xMode val="edge"/>
          <c:yMode val="edge"/>
          <c:x val="6.3188510339964588E-2"/>
          <c:y val="0.13209162808137354"/>
          <c:w val="0.82632150137177274"/>
          <c:h val="0.81538617846465622"/>
        </c:manualLayout>
      </c:layout>
      <c:lineChart>
        <c:grouping val="standard"/>
        <c:ser>
          <c:idx val="9"/>
          <c:order val="0"/>
          <c:tx>
            <c:v>2021 Usage</c:v>
          </c:tx>
          <c:spPr>
            <a:ln w="25400">
              <a:solidFill>
                <a:srgbClr val="92D050"/>
              </a:solidFill>
              <a:prstDash val="dash"/>
            </a:ln>
          </c:spPr>
          <c:marker>
            <c:symbol val="diamond"/>
            <c:size val="5"/>
            <c:spPr>
              <a:solidFill>
                <a:srgbClr val="92D050"/>
              </a:solidFill>
              <a:ln>
                <a:solidFill>
                  <a:srgbClr val="92D050"/>
                </a:solidFill>
              </a:ln>
            </c:spPr>
          </c:marker>
          <c:val>
            <c:numRef>
              <c:f>'Elec &amp; Gas Data'!$F$75:$F$86</c:f>
              <c:numCache>
                <c:formatCode>General</c:formatCode>
                <c:ptCount val="12"/>
                <c:pt idx="0">
                  <c:v>635</c:v>
                </c:pt>
                <c:pt idx="1">
                  <c:v>566</c:v>
                </c:pt>
                <c:pt idx="2">
                  <c:v>549</c:v>
                </c:pt>
                <c:pt idx="3">
                  <c:v>482</c:v>
                </c:pt>
                <c:pt idx="4">
                  <c:v>462</c:v>
                </c:pt>
                <c:pt idx="5">
                  <c:v>876</c:v>
                </c:pt>
                <c:pt idx="6">
                  <c:v>940</c:v>
                </c:pt>
                <c:pt idx="7">
                  <c:v>811</c:v>
                </c:pt>
                <c:pt idx="8">
                  <c:v>706</c:v>
                </c:pt>
                <c:pt idx="9">
                  <c:v>403</c:v>
                </c:pt>
                <c:pt idx="10">
                  <c:v>533</c:v>
                </c:pt>
                <c:pt idx="11">
                  <c:v>649</c:v>
                </c:pt>
              </c:numCache>
            </c:numRef>
          </c:val>
        </c:ser>
        <c:ser>
          <c:idx val="8"/>
          <c:order val="1"/>
          <c:tx>
            <c:v>2022 Usage</c:v>
          </c:tx>
          <c:spPr>
            <a:ln w="25400">
              <a:solidFill>
                <a:srgbClr val="00B050"/>
              </a:solidFill>
              <a:prstDash val="dash"/>
            </a:ln>
            <a:effectLst/>
          </c:spPr>
          <c:marker>
            <c:symbol val="diamond"/>
            <c:size val="5"/>
            <c:spPr>
              <a:solidFill>
                <a:srgbClr val="00B050"/>
              </a:solidFill>
              <a:ln>
                <a:solidFill>
                  <a:srgbClr val="00B050"/>
                </a:solidFill>
              </a:ln>
              <a:effectLst/>
            </c:spPr>
          </c:marker>
          <c:val>
            <c:numRef>
              <c:f>'Elec &amp; Gas Data'!$L$75:$L$86</c:f>
              <c:numCache>
                <c:formatCode>General</c:formatCode>
                <c:ptCount val="12"/>
                <c:pt idx="0">
                  <c:v>505</c:v>
                </c:pt>
                <c:pt idx="1">
                  <c:v>516</c:v>
                </c:pt>
                <c:pt idx="2">
                  <c:v>433</c:v>
                </c:pt>
                <c:pt idx="3">
                  <c:v>347</c:v>
                </c:pt>
                <c:pt idx="4">
                  <c:v>393</c:v>
                </c:pt>
                <c:pt idx="5">
                  <c:v>626</c:v>
                </c:pt>
                <c:pt idx="6">
                  <c:v>811</c:v>
                </c:pt>
                <c:pt idx="7">
                  <c:v>995</c:v>
                </c:pt>
                <c:pt idx="8">
                  <c:v>599</c:v>
                </c:pt>
                <c:pt idx="9">
                  <c:v>358</c:v>
                </c:pt>
                <c:pt idx="10">
                  <c:v>452</c:v>
                </c:pt>
                <c:pt idx="11">
                  <c:v>665</c:v>
                </c:pt>
              </c:numCache>
            </c:numRef>
          </c:val>
        </c:ser>
        <c:ser>
          <c:idx val="2"/>
          <c:order val="2"/>
          <c:tx>
            <c:v>2023 Usage</c:v>
          </c:tx>
          <c:spPr>
            <a:ln w="25400">
              <a:solidFill>
                <a:srgbClr val="FFC000"/>
              </a:solidFill>
              <a:prstDash val="dash"/>
            </a:ln>
          </c:spPr>
          <c:marker>
            <c:symbol val="diamond"/>
            <c:size val="5"/>
            <c:spPr>
              <a:solidFill>
                <a:srgbClr val="FFC000"/>
              </a:solidFill>
              <a:ln>
                <a:solidFill>
                  <a:srgbClr val="FFC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Data'!$R$75:$R$86</c:f>
              <c:numCache>
                <c:formatCode>General</c:formatCode>
                <c:ptCount val="12"/>
                <c:pt idx="0">
                  <c:v>495</c:v>
                </c:pt>
                <c:pt idx="1">
                  <c:v>444</c:v>
                </c:pt>
                <c:pt idx="2">
                  <c:v>411</c:v>
                </c:pt>
                <c:pt idx="3">
                  <c:v>356</c:v>
                </c:pt>
                <c:pt idx="4">
                  <c:v>350</c:v>
                </c:pt>
                <c:pt idx="5">
                  <c:v>355</c:v>
                </c:pt>
                <c:pt idx="6">
                  <c:v>734</c:v>
                </c:pt>
                <c:pt idx="7">
                  <c:v>654</c:v>
                </c:pt>
                <c:pt idx="8">
                  <c:v>364</c:v>
                </c:pt>
                <c:pt idx="9">
                  <c:v>392</c:v>
                </c:pt>
                <c:pt idx="10">
                  <c:v>419</c:v>
                </c:pt>
                <c:pt idx="11">
                  <c:v>616</c:v>
                </c:pt>
              </c:numCache>
            </c:numRef>
          </c:val>
        </c:ser>
        <c:ser>
          <c:idx val="1"/>
          <c:order val="3"/>
          <c:tx>
            <c:v>2023 Solar</c:v>
          </c:tx>
          <c:spPr>
            <a:ln w="25400">
              <a:solidFill>
                <a:srgbClr val="FFC000"/>
              </a:solidFill>
            </a:ln>
          </c:spPr>
          <c:marker>
            <c:symbol val="diamond"/>
            <c:size val="5"/>
            <c:spPr>
              <a:solidFill>
                <a:srgbClr val="FFC000"/>
              </a:solidFill>
              <a:ln>
                <a:solidFill>
                  <a:srgbClr val="FFC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Data'!$H$55:$H$66</c:f>
              <c:numCache>
                <c:formatCode>General</c:formatCode>
                <c:ptCount val="12"/>
                <c:pt idx="8">
                  <c:v>897</c:v>
                </c:pt>
                <c:pt idx="9">
                  <c:v>619</c:v>
                </c:pt>
                <c:pt idx="10">
                  <c:v>389</c:v>
                </c:pt>
                <c:pt idx="11">
                  <c:v>327</c:v>
                </c:pt>
              </c:numCache>
            </c:numRef>
          </c:val>
        </c:ser>
        <c:ser>
          <c:idx val="5"/>
          <c:order val="4"/>
          <c:tx>
            <c:v>2023 Net</c:v>
          </c:tx>
          <c:spPr>
            <a:ln w="25400">
              <a:solidFill>
                <a:srgbClr val="FFC000"/>
              </a:solidFill>
              <a:prstDash val="sysDot"/>
            </a:ln>
          </c:spPr>
          <c:marker>
            <c:symbol val="diamond"/>
            <c:size val="5"/>
            <c:spPr>
              <a:solidFill>
                <a:srgbClr val="FFC000"/>
              </a:solidFill>
              <a:ln>
                <a:solidFill>
                  <a:srgbClr val="FFC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Data'!$J$55:$J$66</c:f>
              <c:numCache>
                <c:formatCode>General</c:formatCode>
                <c:ptCount val="12"/>
                <c:pt idx="8">
                  <c:v>533</c:v>
                </c:pt>
                <c:pt idx="9">
                  <c:v>227</c:v>
                </c:pt>
                <c:pt idx="10">
                  <c:v>-30</c:v>
                </c:pt>
                <c:pt idx="11">
                  <c:v>-289</c:v>
                </c:pt>
              </c:numCache>
            </c:numRef>
          </c:val>
        </c:ser>
        <c:ser>
          <c:idx val="4"/>
          <c:order val="5"/>
          <c:tx>
            <c:v>2024 Usage</c:v>
          </c:tx>
          <c:spPr>
            <a:ln w="25400">
              <a:solidFill>
                <a:srgbClr val="C00000"/>
              </a:solidFill>
              <a:prstDash val="dash"/>
            </a:ln>
          </c:spPr>
          <c:marker>
            <c:symbol val="diamond"/>
            <c:size val="5"/>
            <c:spPr>
              <a:solidFill>
                <a:srgbClr val="FF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Data'!$I$35:$I$46</c:f>
              <c:numCache>
                <c:formatCode>General</c:formatCode>
                <c:ptCount val="12"/>
                <c:pt idx="0">
                  <c:v>539</c:v>
                </c:pt>
                <c:pt idx="1">
                  <c:v>376</c:v>
                </c:pt>
                <c:pt idx="2">
                  <c:v>367</c:v>
                </c:pt>
                <c:pt idx="3">
                  <c:v>353</c:v>
                </c:pt>
                <c:pt idx="4">
                  <c:v>401</c:v>
                </c:pt>
                <c:pt idx="5">
                  <c:v>709</c:v>
                </c:pt>
                <c:pt idx="6">
                  <c:v>787</c:v>
                </c:pt>
                <c:pt idx="7">
                  <c:v>794</c:v>
                </c:pt>
                <c:pt idx="8">
                  <c:v>500</c:v>
                </c:pt>
                <c:pt idx="9">
                  <c:v>397</c:v>
                </c:pt>
                <c:pt idx="10">
                  <c:v>459</c:v>
                </c:pt>
              </c:numCache>
            </c:numRef>
          </c:val>
        </c:ser>
        <c:ser>
          <c:idx val="0"/>
          <c:order val="6"/>
          <c:tx>
            <c:v>2024 Solar</c:v>
          </c:tx>
          <c:spPr>
            <a:ln w="25400">
              <a:solidFill>
                <a:srgbClr val="C00000"/>
              </a:solidFill>
            </a:ln>
          </c:spPr>
          <c:marker>
            <c:symbol val="diamond"/>
            <c:size val="5"/>
            <c:spPr>
              <a:solidFill>
                <a:srgbClr val="C0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Data'!$H$35:$H$46</c:f>
              <c:numCache>
                <c:formatCode>General</c:formatCode>
                <c:ptCount val="12"/>
                <c:pt idx="0">
                  <c:v>343</c:v>
                </c:pt>
                <c:pt idx="1">
                  <c:v>430</c:v>
                </c:pt>
                <c:pt idx="2">
                  <c:v>668</c:v>
                </c:pt>
                <c:pt idx="3">
                  <c:v>937</c:v>
                </c:pt>
                <c:pt idx="4">
                  <c:v>1186</c:v>
                </c:pt>
                <c:pt idx="5">
                  <c:v>1058</c:v>
                </c:pt>
                <c:pt idx="6">
                  <c:v>1092</c:v>
                </c:pt>
                <c:pt idx="7">
                  <c:v>904</c:v>
                </c:pt>
                <c:pt idx="8">
                  <c:v>851</c:v>
                </c:pt>
                <c:pt idx="9">
                  <c:v>646</c:v>
                </c:pt>
                <c:pt idx="10">
                  <c:v>345</c:v>
                </c:pt>
              </c:numCache>
            </c:numRef>
          </c:val>
        </c:ser>
        <c:ser>
          <c:idx val="6"/>
          <c:order val="7"/>
          <c:tx>
            <c:v>2024 Net</c:v>
          </c:tx>
          <c:spPr>
            <a:ln w="25400">
              <a:solidFill>
                <a:srgbClr val="C00000"/>
              </a:solidFill>
              <a:prstDash val="sysDot"/>
            </a:ln>
          </c:spPr>
          <c:marker>
            <c:symbol val="diamond"/>
            <c:size val="5"/>
            <c:spPr>
              <a:solidFill>
                <a:srgbClr val="C0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Data'!$J$35:$J$46</c:f>
              <c:numCache>
                <c:formatCode>General</c:formatCode>
                <c:ptCount val="12"/>
                <c:pt idx="0">
                  <c:v>-196</c:v>
                </c:pt>
                <c:pt idx="1">
                  <c:v>54</c:v>
                </c:pt>
                <c:pt idx="2">
                  <c:v>301</c:v>
                </c:pt>
                <c:pt idx="3">
                  <c:v>584</c:v>
                </c:pt>
                <c:pt idx="4">
                  <c:v>785</c:v>
                </c:pt>
                <c:pt idx="5">
                  <c:v>349</c:v>
                </c:pt>
                <c:pt idx="6">
                  <c:v>305</c:v>
                </c:pt>
                <c:pt idx="7">
                  <c:v>110</c:v>
                </c:pt>
                <c:pt idx="8">
                  <c:v>351</c:v>
                </c:pt>
                <c:pt idx="9">
                  <c:v>249</c:v>
                </c:pt>
                <c:pt idx="10">
                  <c:v>-114</c:v>
                </c:pt>
                <c:pt idx="11">
                  <c:v>0</c:v>
                </c:pt>
              </c:numCache>
            </c:numRef>
          </c:val>
        </c:ser>
        <c:ser>
          <c:idx val="3"/>
          <c:order val="8"/>
          <c:tx>
            <c:v>Solar Predicted</c:v>
          </c:tx>
          <c:spPr>
            <a:ln w="38100">
              <a:solidFill>
                <a:schemeClr val="tx1"/>
              </a:solidFill>
            </a:ln>
          </c:spPr>
          <c:marker>
            <c:symbol val="diamond"/>
            <c:size val="10"/>
            <c:spPr>
              <a:solidFill>
                <a:schemeClr val="tx1"/>
              </a:solidFill>
              <a:ln>
                <a:solidFill>
                  <a:schemeClr val="tx1"/>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Prod'!$B$14:$B$25</c:f>
              <c:numCache>
                <c:formatCode>General</c:formatCode>
                <c:ptCount val="12"/>
                <c:pt idx="0">
                  <c:v>444</c:v>
                </c:pt>
                <c:pt idx="1">
                  <c:v>553</c:v>
                </c:pt>
                <c:pt idx="2">
                  <c:v>797</c:v>
                </c:pt>
                <c:pt idx="3">
                  <c:v>921</c:v>
                </c:pt>
                <c:pt idx="4">
                  <c:v>1026</c:v>
                </c:pt>
                <c:pt idx="5">
                  <c:v>1073</c:v>
                </c:pt>
                <c:pt idx="6">
                  <c:v>1009</c:v>
                </c:pt>
                <c:pt idx="7">
                  <c:v>956</c:v>
                </c:pt>
                <c:pt idx="8">
                  <c:v>812</c:v>
                </c:pt>
                <c:pt idx="9">
                  <c:v>620</c:v>
                </c:pt>
                <c:pt idx="10">
                  <c:v>490</c:v>
                </c:pt>
                <c:pt idx="11">
                  <c:v>416</c:v>
                </c:pt>
              </c:numCache>
            </c:numRef>
          </c:val>
        </c:ser>
        <c:marker val="1"/>
        <c:axId val="179319552"/>
        <c:axId val="179321088"/>
      </c:lineChart>
      <c:catAx>
        <c:axId val="179319552"/>
        <c:scaling>
          <c:orientation val="minMax"/>
        </c:scaling>
        <c:axPos val="b"/>
        <c:majorGridlines/>
        <c:title>
          <c:tx>
            <c:rich>
              <a:bodyPr/>
              <a:lstStyle/>
              <a:p>
                <a:pPr>
                  <a:defRPr/>
                </a:pPr>
                <a:endParaRPr lang="en-US"/>
              </a:p>
              <a:p>
                <a:pPr>
                  <a:defRPr/>
                </a:pPr>
                <a:endParaRPr lang="en-US"/>
              </a:p>
            </c:rich>
          </c:tx>
          <c:layout/>
        </c:title>
        <c:tickLblPos val="nextTo"/>
        <c:crossAx val="179321088"/>
        <c:crossesAt val="-300"/>
        <c:auto val="1"/>
        <c:lblAlgn val="ctr"/>
        <c:lblOffset val="100"/>
      </c:catAx>
      <c:valAx>
        <c:axId val="179321088"/>
        <c:scaling>
          <c:orientation val="minMax"/>
          <c:max val="1200"/>
          <c:min val="-300"/>
        </c:scaling>
        <c:axPos val="l"/>
        <c:majorGridlines/>
        <c:numFmt formatCode="General" sourceLinked="1"/>
        <c:tickLblPos val="low"/>
        <c:crossAx val="179319552"/>
        <c:crosses val="autoZero"/>
        <c:crossBetween val="midCat"/>
        <c:majorUnit val="300"/>
      </c:valAx>
    </c:plotArea>
    <c:legend>
      <c:legendPos val="tr"/>
      <c:layout>
        <c:manualLayout>
          <c:xMode val="edge"/>
          <c:yMode val="edge"/>
          <c:x val="0.89719899011594217"/>
          <c:y val="0.11037713309092093"/>
          <c:w val="9.7617127503941012E-2"/>
          <c:h val="0.48227291356022606"/>
        </c:manualLayout>
      </c:layout>
      <c:spPr>
        <a:ln>
          <a:noFill/>
          <a:prstDash val="dash"/>
        </a:ln>
      </c:spPr>
    </c:legend>
    <c:plotVisOnly val="1"/>
    <c:dispBlanksAs val="gap"/>
  </c:chart>
  <c:spPr>
    <a:ln>
      <a:noFill/>
    </a:ln>
  </c:spPr>
  <c:printSettings>
    <c:headerFooter/>
    <c:pageMargins b="0.75000000000000855" l="0.70000000000000062" r="0.70000000000000062" t="0.750000000000008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marL="0" marR="0" indent="0" algn="l"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sz="2000" b="1" i="0" baseline="0"/>
              <a:t>Kilowatt-hours (solid) &amp; Therms (dashed) Usage and Heating &amp; Cooling Day (dotted)</a:t>
            </a:r>
            <a:endParaRPr lang="en-US" sz="2000" baseline="0"/>
          </a:p>
        </c:rich>
      </c:tx>
      <c:layout>
        <c:manualLayout>
          <c:xMode val="edge"/>
          <c:yMode val="edge"/>
          <c:x val="0.10747829801033786"/>
          <c:y val="4.2453239856647007E-2"/>
        </c:manualLayout>
      </c:layout>
    </c:title>
    <c:plotArea>
      <c:layout>
        <c:manualLayout>
          <c:layoutTarget val="inner"/>
          <c:xMode val="edge"/>
          <c:yMode val="edge"/>
          <c:x val="4.0543096801327193E-2"/>
          <c:y val="0.12987680697462037"/>
          <c:w val="0.83352682658854804"/>
          <c:h val="0.815386178464656"/>
        </c:manualLayout>
      </c:layout>
      <c:lineChart>
        <c:grouping val="standard"/>
        <c:ser>
          <c:idx val="1"/>
          <c:order val="0"/>
          <c:tx>
            <c:v>2021 kWh</c:v>
          </c:tx>
          <c:spPr>
            <a:ln w="25400">
              <a:solidFill>
                <a:srgbClr val="92D050"/>
              </a:solidFill>
            </a:ln>
          </c:spPr>
          <c:marker>
            <c:symbol val="diamond"/>
            <c:size val="5"/>
            <c:spPr>
              <a:solidFill>
                <a:srgbClr val="92D050"/>
              </a:solidFill>
              <a:ln>
                <a:solidFill>
                  <a:srgbClr val="92D050"/>
                </a:solidFill>
              </a:ln>
            </c:spPr>
          </c:marker>
          <c:val>
            <c:numRef>
              <c:f>'Elec &amp; Gas Data'!$F$75:$F$86</c:f>
              <c:numCache>
                <c:formatCode>General</c:formatCode>
                <c:ptCount val="12"/>
                <c:pt idx="0">
                  <c:v>635</c:v>
                </c:pt>
                <c:pt idx="1">
                  <c:v>566</c:v>
                </c:pt>
                <c:pt idx="2">
                  <c:v>549</c:v>
                </c:pt>
                <c:pt idx="3">
                  <c:v>482</c:v>
                </c:pt>
                <c:pt idx="4">
                  <c:v>462</c:v>
                </c:pt>
                <c:pt idx="5">
                  <c:v>876</c:v>
                </c:pt>
                <c:pt idx="6">
                  <c:v>940</c:v>
                </c:pt>
                <c:pt idx="7">
                  <c:v>811</c:v>
                </c:pt>
                <c:pt idx="8">
                  <c:v>706</c:v>
                </c:pt>
                <c:pt idx="9">
                  <c:v>403</c:v>
                </c:pt>
                <c:pt idx="10">
                  <c:v>533</c:v>
                </c:pt>
                <c:pt idx="11">
                  <c:v>649</c:v>
                </c:pt>
              </c:numCache>
            </c:numRef>
          </c:val>
        </c:ser>
        <c:ser>
          <c:idx val="3"/>
          <c:order val="1"/>
          <c:tx>
            <c:v>2021 Cooling</c:v>
          </c:tx>
          <c:spPr>
            <a:ln w="25400">
              <a:solidFill>
                <a:srgbClr val="92D050"/>
              </a:solidFill>
              <a:prstDash val="sysDot"/>
            </a:ln>
          </c:spPr>
          <c:marker>
            <c:symbol val="diamond"/>
            <c:size val="5"/>
            <c:spPr>
              <a:solidFill>
                <a:srgbClr val="92D050"/>
              </a:solidFill>
              <a:ln>
                <a:solidFill>
                  <a:srgbClr val="92D050"/>
                </a:solidFill>
              </a:ln>
            </c:spPr>
          </c:marker>
          <c:val>
            <c:numRef>
              <c:f>'Elec &amp; Gas Data'!$E$75:$E$86</c:f>
              <c:numCache>
                <c:formatCode>General</c:formatCode>
                <c:ptCount val="12"/>
                <c:pt idx="0">
                  <c:v>0</c:v>
                </c:pt>
                <c:pt idx="1">
                  <c:v>0</c:v>
                </c:pt>
                <c:pt idx="2">
                  <c:v>0</c:v>
                </c:pt>
                <c:pt idx="3">
                  <c:v>0</c:v>
                </c:pt>
                <c:pt idx="4">
                  <c:v>1</c:v>
                </c:pt>
                <c:pt idx="5">
                  <c:v>209</c:v>
                </c:pt>
                <c:pt idx="6">
                  <c:v>361</c:v>
                </c:pt>
                <c:pt idx="7">
                  <c:v>327</c:v>
                </c:pt>
                <c:pt idx="8">
                  <c:v>189</c:v>
                </c:pt>
                <c:pt idx="9">
                  <c:v>1</c:v>
                </c:pt>
                <c:pt idx="10">
                  <c:v>0</c:v>
                </c:pt>
                <c:pt idx="11">
                  <c:v>0</c:v>
                </c:pt>
              </c:numCache>
            </c:numRef>
          </c:val>
        </c:ser>
        <c:ser>
          <c:idx val="5"/>
          <c:order val="2"/>
          <c:tx>
            <c:v>2021 Heating</c:v>
          </c:tx>
          <c:spPr>
            <a:ln w="25400">
              <a:solidFill>
                <a:srgbClr val="92D050"/>
              </a:solidFill>
              <a:prstDash val="sysDash"/>
            </a:ln>
          </c:spPr>
          <c:marker>
            <c:symbol val="diamond"/>
            <c:size val="5"/>
            <c:spPr>
              <a:solidFill>
                <a:srgbClr val="92D050"/>
              </a:solidFill>
              <a:ln>
                <a:solidFill>
                  <a:srgbClr val="92D050"/>
                </a:solidFill>
              </a:ln>
            </c:spPr>
          </c:marker>
          <c:val>
            <c:numRef>
              <c:f>'Elec &amp; Gas Data'!$D$75:$D$86</c:f>
              <c:numCache>
                <c:formatCode>General</c:formatCode>
                <c:ptCount val="12"/>
                <c:pt idx="0">
                  <c:v>1034</c:v>
                </c:pt>
                <c:pt idx="1">
                  <c:v>1086</c:v>
                </c:pt>
                <c:pt idx="2">
                  <c:v>848</c:v>
                </c:pt>
                <c:pt idx="3">
                  <c:v>608</c:v>
                </c:pt>
                <c:pt idx="4">
                  <c:v>296</c:v>
                </c:pt>
                <c:pt idx="5">
                  <c:v>22</c:v>
                </c:pt>
                <c:pt idx="6">
                  <c:v>0</c:v>
                </c:pt>
                <c:pt idx="7">
                  <c:v>0</c:v>
                </c:pt>
                <c:pt idx="8">
                  <c:v>37</c:v>
                </c:pt>
                <c:pt idx="9">
                  <c:v>327</c:v>
                </c:pt>
                <c:pt idx="10">
                  <c:v>598</c:v>
                </c:pt>
                <c:pt idx="11">
                  <c:v>868</c:v>
                </c:pt>
              </c:numCache>
            </c:numRef>
          </c:val>
        </c:ser>
        <c:ser>
          <c:idx val="7"/>
          <c:order val="3"/>
          <c:tx>
            <c:v>2021 Therms</c:v>
          </c:tx>
          <c:spPr>
            <a:ln w="25400">
              <a:solidFill>
                <a:srgbClr val="92D050"/>
              </a:solidFill>
              <a:prstDash val="dash"/>
            </a:ln>
          </c:spPr>
          <c:marker>
            <c:symbol val="diamond"/>
            <c:size val="5"/>
            <c:spPr>
              <a:solidFill>
                <a:srgbClr val="92D050"/>
              </a:solidFill>
              <a:ln>
                <a:solidFill>
                  <a:srgbClr val="92D050"/>
                </a:solidFill>
              </a:ln>
            </c:spPr>
          </c:marker>
          <c:val>
            <c:numRef>
              <c:f>'Elec &amp; Gas Data'!$C$75:$C$86</c:f>
              <c:numCache>
                <c:formatCode>General</c:formatCode>
                <c:ptCount val="12"/>
                <c:pt idx="0">
                  <c:v>184</c:v>
                </c:pt>
                <c:pt idx="1">
                  <c:v>221</c:v>
                </c:pt>
                <c:pt idx="2">
                  <c:v>121</c:v>
                </c:pt>
                <c:pt idx="3">
                  <c:v>83</c:v>
                </c:pt>
                <c:pt idx="4">
                  <c:v>31</c:v>
                </c:pt>
                <c:pt idx="5">
                  <c:v>11</c:v>
                </c:pt>
                <c:pt idx="6">
                  <c:v>10</c:v>
                </c:pt>
                <c:pt idx="7">
                  <c:v>6</c:v>
                </c:pt>
                <c:pt idx="8">
                  <c:v>7</c:v>
                </c:pt>
                <c:pt idx="9">
                  <c:v>26</c:v>
                </c:pt>
                <c:pt idx="10">
                  <c:v>79</c:v>
                </c:pt>
                <c:pt idx="11">
                  <c:v>160</c:v>
                </c:pt>
              </c:numCache>
            </c:numRef>
          </c:val>
        </c:ser>
        <c:ser>
          <c:idx val="8"/>
          <c:order val="4"/>
          <c:tx>
            <c:v>2022 kWh</c:v>
          </c:tx>
          <c:spPr>
            <a:ln w="25400">
              <a:solidFill>
                <a:srgbClr val="00B050"/>
              </a:solidFill>
              <a:prstDash val="solid"/>
            </a:ln>
            <a:effectLst/>
          </c:spPr>
          <c:marker>
            <c:symbol val="diamond"/>
            <c:size val="5"/>
            <c:spPr>
              <a:solidFill>
                <a:srgbClr val="00B050"/>
              </a:solidFill>
              <a:ln>
                <a:solidFill>
                  <a:srgbClr val="00B050"/>
                </a:solidFill>
              </a:ln>
              <a:effectLst/>
            </c:spPr>
          </c:marker>
          <c:val>
            <c:numRef>
              <c:f>'Elec &amp; Gas Data'!$L$75:$L$86</c:f>
              <c:numCache>
                <c:formatCode>General</c:formatCode>
                <c:ptCount val="12"/>
                <c:pt idx="0">
                  <c:v>505</c:v>
                </c:pt>
                <c:pt idx="1">
                  <c:v>516</c:v>
                </c:pt>
                <c:pt idx="2">
                  <c:v>433</c:v>
                </c:pt>
                <c:pt idx="3">
                  <c:v>347</c:v>
                </c:pt>
                <c:pt idx="4">
                  <c:v>393</c:v>
                </c:pt>
                <c:pt idx="5">
                  <c:v>626</c:v>
                </c:pt>
                <c:pt idx="6">
                  <c:v>811</c:v>
                </c:pt>
                <c:pt idx="7">
                  <c:v>995</c:v>
                </c:pt>
                <c:pt idx="8">
                  <c:v>599</c:v>
                </c:pt>
                <c:pt idx="9">
                  <c:v>358</c:v>
                </c:pt>
                <c:pt idx="10">
                  <c:v>452</c:v>
                </c:pt>
                <c:pt idx="11">
                  <c:v>665</c:v>
                </c:pt>
              </c:numCache>
            </c:numRef>
          </c:val>
        </c:ser>
        <c:ser>
          <c:idx val="9"/>
          <c:order val="5"/>
          <c:tx>
            <c:v>2022 Cooling</c:v>
          </c:tx>
          <c:spPr>
            <a:ln>
              <a:solidFill>
                <a:srgbClr val="00B050"/>
              </a:solidFill>
              <a:prstDash val="sysDot"/>
            </a:ln>
          </c:spPr>
          <c:marker>
            <c:symbol val="diamond"/>
            <c:size val="5"/>
            <c:spPr>
              <a:solidFill>
                <a:srgbClr val="00B050"/>
              </a:solidFill>
              <a:ln>
                <a:solidFill>
                  <a:srgbClr val="00B050"/>
                </a:solidFill>
              </a:ln>
            </c:spPr>
          </c:marker>
          <c:val>
            <c:numRef>
              <c:f>'Elec &amp; Gas Data'!$K$75:$K$86</c:f>
              <c:numCache>
                <c:formatCode>General</c:formatCode>
                <c:ptCount val="12"/>
                <c:pt idx="0">
                  <c:v>0</c:v>
                </c:pt>
                <c:pt idx="1">
                  <c:v>0</c:v>
                </c:pt>
                <c:pt idx="2">
                  <c:v>0</c:v>
                </c:pt>
                <c:pt idx="3">
                  <c:v>0</c:v>
                </c:pt>
                <c:pt idx="4">
                  <c:v>26</c:v>
                </c:pt>
                <c:pt idx="5">
                  <c:v>206</c:v>
                </c:pt>
                <c:pt idx="6">
                  <c:v>374</c:v>
                </c:pt>
                <c:pt idx="7">
                  <c:v>337</c:v>
                </c:pt>
                <c:pt idx="8">
                  <c:v>169</c:v>
                </c:pt>
                <c:pt idx="9">
                  <c:v>0</c:v>
                </c:pt>
                <c:pt idx="10">
                  <c:v>0</c:v>
                </c:pt>
                <c:pt idx="11">
                  <c:v>0</c:v>
                </c:pt>
              </c:numCache>
            </c:numRef>
          </c:val>
        </c:ser>
        <c:ser>
          <c:idx val="10"/>
          <c:order val="6"/>
          <c:tx>
            <c:v>2022 Heating</c:v>
          </c:tx>
          <c:spPr>
            <a:ln w="25400">
              <a:solidFill>
                <a:srgbClr val="00B050"/>
              </a:solidFill>
              <a:prstDash val="sysDash"/>
            </a:ln>
          </c:spPr>
          <c:marker>
            <c:symbol val="diamond"/>
            <c:size val="5"/>
            <c:spPr>
              <a:solidFill>
                <a:srgbClr val="00B050"/>
              </a:solidFill>
              <a:ln>
                <a:solidFill>
                  <a:srgbClr val="00B050"/>
                </a:solidFill>
              </a:ln>
            </c:spPr>
          </c:marker>
          <c:val>
            <c:numRef>
              <c:f>'Elec &amp; Gas Data'!$J$75:$J$86</c:f>
              <c:numCache>
                <c:formatCode>General</c:formatCode>
                <c:ptCount val="12"/>
                <c:pt idx="0">
                  <c:v>1197</c:v>
                </c:pt>
                <c:pt idx="1">
                  <c:v>1104</c:v>
                </c:pt>
                <c:pt idx="2">
                  <c:v>809</c:v>
                </c:pt>
                <c:pt idx="3">
                  <c:v>451</c:v>
                </c:pt>
                <c:pt idx="4">
                  <c:v>251</c:v>
                </c:pt>
                <c:pt idx="5">
                  <c:v>26</c:v>
                </c:pt>
                <c:pt idx="6">
                  <c:v>0</c:v>
                </c:pt>
                <c:pt idx="7">
                  <c:v>0</c:v>
                </c:pt>
                <c:pt idx="8">
                  <c:v>0</c:v>
                </c:pt>
                <c:pt idx="9">
                  <c:v>398</c:v>
                </c:pt>
                <c:pt idx="10">
                  <c:v>806</c:v>
                </c:pt>
                <c:pt idx="11">
                  <c:v>1214</c:v>
                </c:pt>
              </c:numCache>
            </c:numRef>
          </c:val>
        </c:ser>
        <c:ser>
          <c:idx val="11"/>
          <c:order val="7"/>
          <c:tx>
            <c:v>2022 Therms</c:v>
          </c:tx>
          <c:spPr>
            <a:ln w="25400">
              <a:solidFill>
                <a:srgbClr val="00B050"/>
              </a:solidFill>
              <a:prstDash val="dash"/>
            </a:ln>
          </c:spPr>
          <c:marker>
            <c:symbol val="diamond"/>
            <c:size val="5"/>
            <c:spPr>
              <a:solidFill>
                <a:srgbClr val="00B050"/>
              </a:solidFill>
              <a:ln>
                <a:solidFill>
                  <a:srgbClr val="00B050"/>
                </a:solidFill>
              </a:ln>
            </c:spPr>
          </c:marker>
          <c:val>
            <c:numRef>
              <c:f>'Elec &amp; Gas Data'!$I$75:$I$86</c:f>
              <c:numCache>
                <c:formatCode>General</c:formatCode>
                <c:ptCount val="12"/>
                <c:pt idx="0">
                  <c:v>166</c:v>
                </c:pt>
                <c:pt idx="1">
                  <c:v>161</c:v>
                </c:pt>
                <c:pt idx="2">
                  <c:v>113</c:v>
                </c:pt>
                <c:pt idx="3">
                  <c:v>48</c:v>
                </c:pt>
                <c:pt idx="4">
                  <c:v>24</c:v>
                </c:pt>
                <c:pt idx="5">
                  <c:v>10</c:v>
                </c:pt>
                <c:pt idx="6">
                  <c:v>7</c:v>
                </c:pt>
                <c:pt idx="7">
                  <c:v>7</c:v>
                </c:pt>
                <c:pt idx="8">
                  <c:v>9</c:v>
                </c:pt>
                <c:pt idx="9">
                  <c:v>22</c:v>
                </c:pt>
                <c:pt idx="10">
                  <c:v>127</c:v>
                </c:pt>
                <c:pt idx="11">
                  <c:v>210</c:v>
                </c:pt>
              </c:numCache>
            </c:numRef>
          </c:val>
        </c:ser>
        <c:ser>
          <c:idx val="2"/>
          <c:order val="8"/>
          <c:tx>
            <c:v>2023 KWh</c:v>
          </c:tx>
          <c:spPr>
            <a:ln w="25400">
              <a:solidFill>
                <a:srgbClr val="FFC000"/>
              </a:solidFill>
              <a:prstDash val="solid"/>
            </a:ln>
          </c:spPr>
          <c:marker>
            <c:symbol val="diamond"/>
            <c:size val="5"/>
            <c:spPr>
              <a:solidFill>
                <a:srgbClr val="FFC000"/>
              </a:solidFill>
              <a:ln>
                <a:solidFill>
                  <a:srgbClr val="FFC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Data'!$R$75:$R$86</c:f>
              <c:numCache>
                <c:formatCode>General</c:formatCode>
                <c:ptCount val="12"/>
                <c:pt idx="0">
                  <c:v>495</c:v>
                </c:pt>
                <c:pt idx="1">
                  <c:v>444</c:v>
                </c:pt>
                <c:pt idx="2">
                  <c:v>411</c:v>
                </c:pt>
                <c:pt idx="3">
                  <c:v>356</c:v>
                </c:pt>
                <c:pt idx="4">
                  <c:v>350</c:v>
                </c:pt>
                <c:pt idx="5">
                  <c:v>355</c:v>
                </c:pt>
                <c:pt idx="6">
                  <c:v>734</c:v>
                </c:pt>
                <c:pt idx="7">
                  <c:v>654</c:v>
                </c:pt>
                <c:pt idx="8">
                  <c:v>364</c:v>
                </c:pt>
                <c:pt idx="9">
                  <c:v>392</c:v>
                </c:pt>
                <c:pt idx="10">
                  <c:v>419</c:v>
                </c:pt>
                <c:pt idx="11">
                  <c:v>616</c:v>
                </c:pt>
              </c:numCache>
            </c:numRef>
          </c:val>
        </c:ser>
        <c:ser>
          <c:idx val="12"/>
          <c:order val="9"/>
          <c:tx>
            <c:v>2023 Cooling</c:v>
          </c:tx>
          <c:spPr>
            <a:ln w="25400">
              <a:solidFill>
                <a:srgbClr val="FFC000"/>
              </a:solidFill>
              <a:prstDash val="sysDot"/>
            </a:ln>
          </c:spPr>
          <c:marker>
            <c:symbol val="diamond"/>
            <c:size val="5"/>
            <c:spPr>
              <a:solidFill>
                <a:srgbClr val="FFC000"/>
              </a:solidFill>
              <a:ln>
                <a:solidFill>
                  <a:srgbClr val="FFC000"/>
                </a:solidFill>
              </a:ln>
            </c:spPr>
          </c:marker>
          <c:val>
            <c:numRef>
              <c:f>'Elec &amp; Gas Data'!$Q$75:$Q$86</c:f>
              <c:numCache>
                <c:formatCode>General</c:formatCode>
                <c:ptCount val="12"/>
                <c:pt idx="0">
                  <c:v>0</c:v>
                </c:pt>
                <c:pt idx="1">
                  <c:v>0</c:v>
                </c:pt>
                <c:pt idx="2">
                  <c:v>0</c:v>
                </c:pt>
                <c:pt idx="3">
                  <c:v>0</c:v>
                </c:pt>
                <c:pt idx="4">
                  <c:v>0</c:v>
                </c:pt>
                <c:pt idx="5">
                  <c:v>54</c:v>
                </c:pt>
                <c:pt idx="6">
                  <c:v>261</c:v>
                </c:pt>
                <c:pt idx="7">
                  <c:v>257</c:v>
                </c:pt>
                <c:pt idx="8">
                  <c:v>106</c:v>
                </c:pt>
                <c:pt idx="9">
                  <c:v>6</c:v>
                </c:pt>
                <c:pt idx="10">
                  <c:v>0</c:v>
                </c:pt>
                <c:pt idx="11">
                  <c:v>0</c:v>
                </c:pt>
              </c:numCache>
            </c:numRef>
          </c:val>
        </c:ser>
        <c:ser>
          <c:idx val="14"/>
          <c:order val="10"/>
          <c:tx>
            <c:v>2023 Heating</c:v>
          </c:tx>
          <c:spPr>
            <a:ln w="25400">
              <a:solidFill>
                <a:srgbClr val="FFC000"/>
              </a:solidFill>
              <a:prstDash val="sysDash"/>
            </a:ln>
          </c:spPr>
          <c:marker>
            <c:symbol val="triangle"/>
            <c:size val="5"/>
            <c:spPr>
              <a:solidFill>
                <a:srgbClr val="FFC000"/>
              </a:solidFill>
              <a:ln>
                <a:solidFill>
                  <a:srgbClr val="FFC000"/>
                </a:solidFill>
              </a:ln>
            </c:spPr>
          </c:marker>
          <c:val>
            <c:numRef>
              <c:f>'Elec &amp; Gas Data'!$P$75:$P$86</c:f>
              <c:numCache>
                <c:formatCode>General</c:formatCode>
                <c:ptCount val="12"/>
                <c:pt idx="0">
                  <c:v>1297</c:v>
                </c:pt>
                <c:pt idx="1">
                  <c:v>1060</c:v>
                </c:pt>
                <c:pt idx="2">
                  <c:v>861</c:v>
                </c:pt>
                <c:pt idx="3">
                  <c:v>547</c:v>
                </c:pt>
                <c:pt idx="4">
                  <c:v>187</c:v>
                </c:pt>
                <c:pt idx="5">
                  <c:v>83</c:v>
                </c:pt>
                <c:pt idx="6">
                  <c:v>5</c:v>
                </c:pt>
                <c:pt idx="7">
                  <c:v>3</c:v>
                </c:pt>
                <c:pt idx="8">
                  <c:v>22</c:v>
                </c:pt>
                <c:pt idx="9">
                  <c:v>393</c:v>
                </c:pt>
                <c:pt idx="10">
                  <c:v>720</c:v>
                </c:pt>
                <c:pt idx="11">
                  <c:v>893</c:v>
                </c:pt>
              </c:numCache>
            </c:numRef>
          </c:val>
        </c:ser>
        <c:ser>
          <c:idx val="13"/>
          <c:order val="11"/>
          <c:tx>
            <c:v>2023 Therms</c:v>
          </c:tx>
          <c:spPr>
            <a:ln w="25400">
              <a:solidFill>
                <a:srgbClr val="FFC000"/>
              </a:solidFill>
              <a:prstDash val="dash"/>
            </a:ln>
          </c:spPr>
          <c:marker>
            <c:symbol val="diamond"/>
            <c:size val="5"/>
            <c:spPr>
              <a:solidFill>
                <a:srgbClr val="FFC000"/>
              </a:solidFill>
              <a:ln>
                <a:solidFill>
                  <a:srgbClr val="FFC000"/>
                </a:solidFill>
              </a:ln>
            </c:spPr>
          </c:marker>
          <c:val>
            <c:numRef>
              <c:f>'Elec &amp; Gas Data'!$O$75:$O$86</c:f>
              <c:numCache>
                <c:formatCode>General</c:formatCode>
                <c:ptCount val="12"/>
                <c:pt idx="0">
                  <c:v>188</c:v>
                </c:pt>
                <c:pt idx="1">
                  <c:v>160</c:v>
                </c:pt>
                <c:pt idx="2">
                  <c:v>113</c:v>
                </c:pt>
                <c:pt idx="3">
                  <c:v>44</c:v>
                </c:pt>
                <c:pt idx="4">
                  <c:v>14</c:v>
                </c:pt>
                <c:pt idx="5">
                  <c:v>6</c:v>
                </c:pt>
                <c:pt idx="6">
                  <c:v>7</c:v>
                </c:pt>
                <c:pt idx="7">
                  <c:v>7</c:v>
                </c:pt>
                <c:pt idx="8">
                  <c:v>9</c:v>
                </c:pt>
                <c:pt idx="9">
                  <c:v>38</c:v>
                </c:pt>
                <c:pt idx="10">
                  <c:v>117</c:v>
                </c:pt>
                <c:pt idx="11">
                  <c:v>162</c:v>
                </c:pt>
              </c:numCache>
            </c:numRef>
          </c:val>
        </c:ser>
        <c:ser>
          <c:idx val="4"/>
          <c:order val="12"/>
          <c:tx>
            <c:v>2024 kWh</c:v>
          </c:tx>
          <c:spPr>
            <a:ln w="25400">
              <a:solidFill>
                <a:srgbClr val="C00000"/>
              </a:solidFill>
              <a:prstDash val="solid"/>
            </a:ln>
          </c:spPr>
          <c:marker>
            <c:symbol val="diamond"/>
            <c:size val="5"/>
            <c:spPr>
              <a:solidFill>
                <a:srgbClr val="FF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Data'!$I$35:$I$46</c:f>
              <c:numCache>
                <c:formatCode>General</c:formatCode>
                <c:ptCount val="12"/>
                <c:pt idx="0">
                  <c:v>539</c:v>
                </c:pt>
                <c:pt idx="1">
                  <c:v>376</c:v>
                </c:pt>
                <c:pt idx="2">
                  <c:v>367</c:v>
                </c:pt>
                <c:pt idx="3">
                  <c:v>353</c:v>
                </c:pt>
                <c:pt idx="4">
                  <c:v>401</c:v>
                </c:pt>
                <c:pt idx="5">
                  <c:v>709</c:v>
                </c:pt>
                <c:pt idx="6">
                  <c:v>787</c:v>
                </c:pt>
                <c:pt idx="7">
                  <c:v>794</c:v>
                </c:pt>
                <c:pt idx="8">
                  <c:v>500</c:v>
                </c:pt>
                <c:pt idx="9">
                  <c:v>397</c:v>
                </c:pt>
                <c:pt idx="10">
                  <c:v>459</c:v>
                </c:pt>
              </c:numCache>
            </c:numRef>
          </c:val>
        </c:ser>
        <c:ser>
          <c:idx val="6"/>
          <c:order val="13"/>
          <c:tx>
            <c:v>2024 Cooling</c:v>
          </c:tx>
          <c:spPr>
            <a:ln w="25400">
              <a:solidFill>
                <a:srgbClr val="C00000"/>
              </a:solidFill>
              <a:prstDash val="sysDot"/>
            </a:ln>
          </c:spPr>
          <c:marker>
            <c:symbol val="diamond"/>
            <c:size val="5"/>
            <c:spPr>
              <a:solidFill>
                <a:srgbClr val="C0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Data'!$D$35:$D$46</c:f>
              <c:numCache>
                <c:formatCode>General</c:formatCode>
                <c:ptCount val="12"/>
                <c:pt idx="0">
                  <c:v>0</c:v>
                </c:pt>
                <c:pt idx="1">
                  <c:v>0</c:v>
                </c:pt>
                <c:pt idx="2">
                  <c:v>0</c:v>
                </c:pt>
                <c:pt idx="3">
                  <c:v>0</c:v>
                </c:pt>
                <c:pt idx="4">
                  <c:v>3</c:v>
                </c:pt>
                <c:pt idx="5">
                  <c:v>251</c:v>
                </c:pt>
                <c:pt idx="6">
                  <c:v>343</c:v>
                </c:pt>
                <c:pt idx="7">
                  <c:v>317</c:v>
                </c:pt>
                <c:pt idx="8">
                  <c:v>156</c:v>
                </c:pt>
                <c:pt idx="9">
                  <c:v>7</c:v>
                </c:pt>
                <c:pt idx="10">
                  <c:v>0</c:v>
                </c:pt>
              </c:numCache>
            </c:numRef>
          </c:val>
        </c:ser>
        <c:ser>
          <c:idx val="0"/>
          <c:order val="14"/>
          <c:tx>
            <c:v>2024 Heating</c:v>
          </c:tx>
          <c:spPr>
            <a:ln w="25400">
              <a:solidFill>
                <a:srgbClr val="C00000"/>
              </a:solidFill>
              <a:prstDash val="sysDash"/>
            </a:ln>
          </c:spPr>
          <c:marker>
            <c:symbol val="diamond"/>
            <c:size val="5"/>
            <c:spPr>
              <a:solidFill>
                <a:srgbClr val="C0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Data'!$C$35:$C$46</c:f>
              <c:numCache>
                <c:formatCode>General</c:formatCode>
                <c:ptCount val="12"/>
                <c:pt idx="0">
                  <c:v>1160</c:v>
                </c:pt>
                <c:pt idx="1">
                  <c:v>757</c:v>
                </c:pt>
                <c:pt idx="2">
                  <c:v>683</c:v>
                </c:pt>
                <c:pt idx="3">
                  <c:v>405</c:v>
                </c:pt>
                <c:pt idx="4">
                  <c:v>237</c:v>
                </c:pt>
                <c:pt idx="5">
                  <c:v>4</c:v>
                </c:pt>
                <c:pt idx="6">
                  <c:v>2</c:v>
                </c:pt>
                <c:pt idx="7">
                  <c:v>2</c:v>
                </c:pt>
                <c:pt idx="8">
                  <c:v>32</c:v>
                </c:pt>
                <c:pt idx="9">
                  <c:v>257</c:v>
                </c:pt>
                <c:pt idx="10">
                  <c:v>880</c:v>
                </c:pt>
              </c:numCache>
            </c:numRef>
          </c:val>
        </c:ser>
        <c:ser>
          <c:idx val="15"/>
          <c:order val="15"/>
          <c:tx>
            <c:v>2024 Therms</c:v>
          </c:tx>
          <c:spPr>
            <a:ln w="25400">
              <a:solidFill>
                <a:srgbClr val="C00000"/>
              </a:solidFill>
              <a:prstDash val="dash"/>
            </a:ln>
          </c:spPr>
          <c:marker>
            <c:symbol val="diamond"/>
            <c:size val="5"/>
            <c:spPr>
              <a:solidFill>
                <a:srgbClr val="C00000"/>
              </a:solidFill>
              <a:ln>
                <a:solidFill>
                  <a:srgbClr val="C00000"/>
                </a:solidFill>
              </a:ln>
            </c:spPr>
          </c:marker>
          <c:val>
            <c:numRef>
              <c:f>'Elec &amp; Gas Data'!$B$35:$B$46</c:f>
              <c:numCache>
                <c:formatCode>General</c:formatCode>
                <c:ptCount val="12"/>
                <c:pt idx="0">
                  <c:v>206</c:v>
                </c:pt>
                <c:pt idx="1">
                  <c:v>87</c:v>
                </c:pt>
                <c:pt idx="2">
                  <c:v>72</c:v>
                </c:pt>
                <c:pt idx="3">
                  <c:v>33</c:v>
                </c:pt>
                <c:pt idx="4">
                  <c:v>22</c:v>
                </c:pt>
                <c:pt idx="5">
                  <c:v>5</c:v>
                </c:pt>
                <c:pt idx="6">
                  <c:v>5</c:v>
                </c:pt>
                <c:pt idx="7">
                  <c:v>7</c:v>
                </c:pt>
                <c:pt idx="8">
                  <c:v>5</c:v>
                </c:pt>
                <c:pt idx="9">
                  <c:v>15</c:v>
                </c:pt>
              </c:numCache>
            </c:numRef>
          </c:val>
        </c:ser>
        <c:marker val="1"/>
        <c:axId val="179599616"/>
        <c:axId val="179618560"/>
      </c:lineChart>
      <c:dateAx>
        <c:axId val="179599616"/>
        <c:scaling>
          <c:orientation val="minMax"/>
        </c:scaling>
        <c:axPos val="b"/>
        <c:majorGridlines/>
        <c:title>
          <c:tx>
            <c:rich>
              <a:bodyPr/>
              <a:lstStyle/>
              <a:p>
                <a:pPr>
                  <a:defRPr/>
                </a:pPr>
                <a:endParaRPr lang="en-US"/>
              </a:p>
              <a:p>
                <a:pPr>
                  <a:defRPr/>
                </a:pPr>
                <a:endParaRPr lang="en-US"/>
              </a:p>
            </c:rich>
          </c:tx>
          <c:layout/>
        </c:title>
        <c:tickLblPos val="nextTo"/>
        <c:crossAx val="179618560"/>
        <c:crossesAt val="-300"/>
        <c:lblOffset val="100"/>
        <c:baseTimeUnit val="days"/>
      </c:dateAx>
      <c:valAx>
        <c:axId val="179618560"/>
        <c:scaling>
          <c:orientation val="minMax"/>
          <c:max val="1200"/>
          <c:min val="0"/>
        </c:scaling>
        <c:axPos val="l"/>
        <c:majorGridlines/>
        <c:numFmt formatCode="General" sourceLinked="1"/>
        <c:tickLblPos val="low"/>
        <c:crossAx val="179599616"/>
        <c:crosses val="autoZero"/>
        <c:crossBetween val="midCat"/>
        <c:majorUnit val="300"/>
      </c:valAx>
    </c:plotArea>
    <c:legend>
      <c:legendPos val="r"/>
      <c:layout>
        <c:manualLayout>
          <c:xMode val="edge"/>
          <c:yMode val="edge"/>
          <c:x val="0.87591313816676553"/>
          <c:y val="0.10585641911040188"/>
          <c:w val="0.10196563422582662"/>
          <c:h val="0.86229593393850079"/>
        </c:manualLayout>
      </c:layout>
      <c:spPr>
        <a:ln>
          <a:noFill/>
          <a:prstDash val="dash"/>
        </a:ln>
      </c:spPr>
    </c:legend>
    <c:plotVisOnly val="1"/>
    <c:dispBlanksAs val="gap"/>
  </c:chart>
  <c:spPr>
    <a:ln>
      <a:noFill/>
    </a:ln>
  </c:spPr>
  <c:printSettings>
    <c:headerFooter/>
    <c:pageMargins b="0.75000000000000877" l="0.70000000000000062" r="0.70000000000000062" t="0.75000000000000877"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3200" u="sng"/>
              <a:t>Kilowatt-hours by</a:t>
            </a:r>
            <a:r>
              <a:rPr lang="en-US" sz="3200" u="sng" baseline="0"/>
              <a:t> Year</a:t>
            </a:r>
          </a:p>
        </c:rich>
      </c:tx>
      <c:layout>
        <c:manualLayout>
          <c:xMode val="edge"/>
          <c:yMode val="edge"/>
          <c:x val="0.34748990968274446"/>
          <c:y val="2.6258205689278242E-2"/>
        </c:manualLayout>
      </c:layout>
    </c:title>
    <c:plotArea>
      <c:layout>
        <c:manualLayout>
          <c:layoutTarget val="inner"/>
          <c:xMode val="edge"/>
          <c:yMode val="edge"/>
          <c:x val="1.007049345417925E-2"/>
          <c:y val="0.12088109695670192"/>
          <c:w val="0.97784491440081511"/>
          <c:h val="0.78517919241788692"/>
        </c:manualLayout>
      </c:layout>
      <c:barChart>
        <c:barDir val="col"/>
        <c:grouping val="clustered"/>
        <c:ser>
          <c:idx val="2"/>
          <c:order val="0"/>
          <c:tx>
            <c:strRef>
              <c:f>'Elec &amp; Gas Data'!$C$94</c:f>
              <c:strCache>
                <c:ptCount val="1"/>
                <c:pt idx="0">
                  <c:v>kWh</c:v>
                </c:pt>
              </c:strCache>
            </c:strRef>
          </c:tx>
          <c:spPr>
            <a:solidFill>
              <a:srgbClr val="4F81BD"/>
            </a:solidFill>
            <a:ln>
              <a:solidFill>
                <a:srgbClr val="4F81BD"/>
              </a:solidFill>
            </a:ln>
          </c:spPr>
          <c:cat>
            <c:numRef>
              <c:f>'Elec &amp; Gas Data'!$A$95:$A$110</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'Elec &amp; Gas Data'!$C$95:$C$110</c:f>
              <c:numCache>
                <c:formatCode>0</c:formatCode>
                <c:ptCount val="16"/>
                <c:pt idx="0">
                  <c:v>9875</c:v>
                </c:pt>
                <c:pt idx="1">
                  <c:v>8889</c:v>
                </c:pt>
                <c:pt idx="2">
                  <c:v>8457</c:v>
                </c:pt>
                <c:pt idx="3">
                  <c:v>9112</c:v>
                </c:pt>
                <c:pt idx="4">
                  <c:v>8269</c:v>
                </c:pt>
                <c:pt idx="5">
                  <c:v>9113</c:v>
                </c:pt>
                <c:pt idx="6">
                  <c:v>8179</c:v>
                </c:pt>
                <c:pt idx="7">
                  <c:v>7266</c:v>
                </c:pt>
                <c:pt idx="8">
                  <c:v>7518</c:v>
                </c:pt>
                <c:pt idx="9">
                  <c:v>7511</c:v>
                </c:pt>
                <c:pt idx="10">
                  <c:v>8843</c:v>
                </c:pt>
                <c:pt idx="11">
                  <c:v>7466</c:v>
                </c:pt>
                <c:pt idx="12">
                  <c:v>7568</c:v>
                </c:pt>
                <c:pt idx="13">
                  <c:v>7612</c:v>
                </c:pt>
                <c:pt idx="14">
                  <c:v>6700</c:v>
                </c:pt>
                <c:pt idx="15">
                  <c:v>5590</c:v>
                </c:pt>
              </c:numCache>
            </c:numRef>
          </c:val>
        </c:ser>
        <c:dLbls>
          <c:showVal val="1"/>
        </c:dLbls>
        <c:overlap val="-25"/>
        <c:axId val="179721344"/>
        <c:axId val="179722880"/>
      </c:barChart>
      <c:catAx>
        <c:axId val="179721344"/>
        <c:scaling>
          <c:orientation val="minMax"/>
        </c:scaling>
        <c:axPos val="b"/>
        <c:numFmt formatCode="General" sourceLinked="1"/>
        <c:majorTickMark val="none"/>
        <c:tickLblPos val="nextTo"/>
        <c:crossAx val="179722880"/>
        <c:crosses val="autoZero"/>
        <c:auto val="1"/>
        <c:lblAlgn val="ctr"/>
        <c:lblOffset val="100"/>
      </c:catAx>
      <c:valAx>
        <c:axId val="179722880"/>
        <c:scaling>
          <c:orientation val="minMax"/>
          <c:max val="10000"/>
          <c:min val="0"/>
        </c:scaling>
        <c:delete val="1"/>
        <c:axPos val="l"/>
        <c:numFmt formatCode="0" sourceLinked="0"/>
        <c:majorTickMark val="none"/>
        <c:tickLblPos val="none"/>
        <c:crossAx val="179721344"/>
        <c:crossesAt val="1"/>
        <c:crossBetween val="between"/>
        <c:majorUnit val="1000"/>
      </c:valAx>
    </c:plotArea>
    <c:plotVisOnly val="1"/>
  </c:chart>
  <c:spPr>
    <a:ln>
      <a:noFill/>
    </a:ln>
  </c:spPr>
  <c:printSettings>
    <c:headerFooter/>
    <c:pageMargins b="0.75000000000000444" l="0.70000000000000062" r="0.70000000000000062" t="0.750000000000004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u="sng"/>
            </a:pPr>
            <a:r>
              <a:rPr lang="en-US" sz="3200" u="sng"/>
              <a:t>Natural Gas Therms by Year</a:t>
            </a:r>
          </a:p>
        </c:rich>
      </c:tx>
      <c:layout>
        <c:manualLayout>
          <c:xMode val="edge"/>
          <c:yMode val="edge"/>
          <c:x val="0.31377136015098039"/>
          <c:y val="3.8461538461538464E-2"/>
        </c:manualLayout>
      </c:layout>
    </c:title>
    <c:plotArea>
      <c:layout/>
      <c:barChart>
        <c:barDir val="col"/>
        <c:grouping val="clustered"/>
        <c:ser>
          <c:idx val="2"/>
          <c:order val="0"/>
          <c:tx>
            <c:strRef>
              <c:f>'Elec &amp; Gas Data'!$B$94</c:f>
              <c:strCache>
                <c:ptCount val="1"/>
                <c:pt idx="0">
                  <c:v>Therms</c:v>
                </c:pt>
              </c:strCache>
            </c:strRef>
          </c:tx>
          <c:spPr>
            <a:solidFill>
              <a:srgbClr val="C00000"/>
            </a:solidFill>
            <a:ln>
              <a:solidFill>
                <a:srgbClr val="C00000"/>
              </a:solidFill>
            </a:ln>
          </c:spPr>
          <c:cat>
            <c:numRef>
              <c:f>'Elec &amp; Gas Data'!$A$95:$A$110</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'Elec &amp; Gas Data'!$B$95:$B$110</c:f>
              <c:numCache>
                <c:formatCode>0</c:formatCode>
                <c:ptCount val="16"/>
                <c:pt idx="0">
                  <c:v>773</c:v>
                </c:pt>
                <c:pt idx="1">
                  <c:v>805</c:v>
                </c:pt>
                <c:pt idx="2">
                  <c:v>851</c:v>
                </c:pt>
                <c:pt idx="3">
                  <c:v>910</c:v>
                </c:pt>
                <c:pt idx="4">
                  <c:v>776</c:v>
                </c:pt>
                <c:pt idx="5">
                  <c:v>1053</c:v>
                </c:pt>
                <c:pt idx="6">
                  <c:v>1122</c:v>
                </c:pt>
                <c:pt idx="7">
                  <c:v>994</c:v>
                </c:pt>
                <c:pt idx="8">
                  <c:v>878</c:v>
                </c:pt>
                <c:pt idx="9">
                  <c:v>861</c:v>
                </c:pt>
                <c:pt idx="10">
                  <c:v>1003</c:v>
                </c:pt>
                <c:pt idx="11">
                  <c:v>1065</c:v>
                </c:pt>
                <c:pt idx="12">
                  <c:v>1041</c:v>
                </c:pt>
                <c:pt idx="13">
                  <c:v>939</c:v>
                </c:pt>
                <c:pt idx="14">
                  <c:v>904</c:v>
                </c:pt>
                <c:pt idx="15">
                  <c:v>865</c:v>
                </c:pt>
              </c:numCache>
            </c:numRef>
          </c:val>
        </c:ser>
        <c:dLbls>
          <c:showVal val="1"/>
        </c:dLbls>
        <c:overlap val="-25"/>
        <c:axId val="179746688"/>
        <c:axId val="179748224"/>
      </c:barChart>
      <c:catAx>
        <c:axId val="179746688"/>
        <c:scaling>
          <c:orientation val="minMax"/>
        </c:scaling>
        <c:axPos val="b"/>
        <c:numFmt formatCode="General" sourceLinked="1"/>
        <c:majorTickMark val="none"/>
        <c:tickLblPos val="nextTo"/>
        <c:spPr>
          <a:noFill/>
        </c:spPr>
        <c:crossAx val="179748224"/>
        <c:crosses val="autoZero"/>
        <c:auto val="1"/>
        <c:lblAlgn val="ctr"/>
        <c:lblOffset val="100"/>
      </c:catAx>
      <c:valAx>
        <c:axId val="179748224"/>
        <c:scaling>
          <c:orientation val="minMax"/>
          <c:max val="1200"/>
          <c:min val="0"/>
        </c:scaling>
        <c:delete val="1"/>
        <c:axPos val="l"/>
        <c:numFmt formatCode="0" sourceLinked="0"/>
        <c:majorTickMark val="none"/>
        <c:tickLblPos val="none"/>
        <c:crossAx val="179746688"/>
        <c:crossesAt val="1"/>
        <c:crossBetween val="between"/>
        <c:majorUnit val="200"/>
      </c:valAx>
    </c:plotArea>
    <c:plotVisOnly val="1"/>
  </c:chart>
  <c:spPr>
    <a:ln>
      <a:noFill/>
    </a:ln>
  </c:spPr>
  <c:printSettings>
    <c:headerFooter/>
    <c:pageMargins b="0.75000000000000466" l="0.70000000000000062" r="0.70000000000000062" t="0.75000000000000466"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114300</xdr:colOff>
      <xdr:row>48</xdr:row>
      <xdr:rowOff>82550</xdr:rowOff>
    </xdr:from>
    <xdr:to>
      <xdr:col>14</xdr:col>
      <xdr:colOff>139700</xdr:colOff>
      <xdr:row>79</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82550</xdr:colOff>
      <xdr:row>81</xdr:row>
      <xdr:rowOff>44450</xdr:rowOff>
    </xdr:from>
    <xdr:to>
      <xdr:col>14</xdr:col>
      <xdr:colOff>146050</xdr:colOff>
      <xdr:row>112</xdr:row>
      <xdr:rowOff>12700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0.8618</cdr:x>
      <cdr:y>0.47845</cdr:y>
    </cdr:from>
    <cdr:to>
      <cdr:x>1</cdr:x>
      <cdr:y>0.68534</cdr:y>
    </cdr:to>
    <cdr:sp macro="" textlink="">
      <cdr:nvSpPr>
        <cdr:cNvPr id="2" name="TextBox 1"/>
        <cdr:cNvSpPr txBox="1"/>
      </cdr:nvSpPr>
      <cdr:spPr>
        <a:xfrm xmlns:a="http://schemas.openxmlformats.org/drawingml/2006/main">
          <a:off x="6280150" y="21145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0.8618</cdr:x>
      <cdr:y>0.47845</cdr:y>
    </cdr:from>
    <cdr:to>
      <cdr:x>1</cdr:x>
      <cdr:y>0.68534</cdr:y>
    </cdr:to>
    <cdr:sp macro="" textlink="">
      <cdr:nvSpPr>
        <cdr:cNvPr id="2" name="TextBox 1"/>
        <cdr:cNvSpPr txBox="1"/>
      </cdr:nvSpPr>
      <cdr:spPr>
        <a:xfrm xmlns:a="http://schemas.openxmlformats.org/drawingml/2006/main">
          <a:off x="6280150" y="21145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25400</xdr:colOff>
      <xdr:row>4</xdr:row>
      <xdr:rowOff>76200</xdr:rowOff>
    </xdr:from>
    <xdr:to>
      <xdr:col>17</xdr:col>
      <xdr:colOff>539750</xdr:colOff>
      <xdr:row>35</xdr:row>
      <xdr:rowOff>101600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0.8618</cdr:x>
      <cdr:y>0.47845</cdr:y>
    </cdr:from>
    <cdr:to>
      <cdr:x>1</cdr:x>
      <cdr:y>0.68534</cdr:y>
    </cdr:to>
    <cdr:sp macro="" textlink="">
      <cdr:nvSpPr>
        <cdr:cNvPr id="2" name="TextBox 1"/>
        <cdr:cNvSpPr txBox="1"/>
      </cdr:nvSpPr>
      <cdr:spPr>
        <a:xfrm xmlns:a="http://schemas.openxmlformats.org/drawingml/2006/main">
          <a:off x="6280150" y="21145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25400</xdr:colOff>
      <xdr:row>4</xdr:row>
      <xdr:rowOff>76200</xdr:rowOff>
    </xdr:from>
    <xdr:to>
      <xdr:col>17</xdr:col>
      <xdr:colOff>501650</xdr:colOff>
      <xdr:row>35</xdr:row>
      <xdr:rowOff>101600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0.8618</cdr:x>
      <cdr:y>0.47845</cdr:y>
    </cdr:from>
    <cdr:to>
      <cdr:x>1</cdr:x>
      <cdr:y>0.68534</cdr:y>
    </cdr:to>
    <cdr:sp macro="" textlink="">
      <cdr:nvSpPr>
        <cdr:cNvPr id="2" name="TextBox 1"/>
        <cdr:cNvSpPr txBox="1"/>
      </cdr:nvSpPr>
      <cdr:spPr>
        <a:xfrm xmlns:a="http://schemas.openxmlformats.org/drawingml/2006/main">
          <a:off x="6280150" y="21145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12700</xdr:colOff>
      <xdr:row>3</xdr:row>
      <xdr:rowOff>88900</xdr:rowOff>
    </xdr:from>
    <xdr:to>
      <xdr:col>20</xdr:col>
      <xdr:colOff>431800</xdr:colOff>
      <xdr:row>33</xdr:row>
      <xdr:rowOff>177800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xdr:colOff>
      <xdr:row>35</xdr:row>
      <xdr:rowOff>88900</xdr:rowOff>
    </xdr:from>
    <xdr:to>
      <xdr:col>20</xdr:col>
      <xdr:colOff>431800</xdr:colOff>
      <xdr:row>65</xdr:row>
      <xdr:rowOff>177800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B30"/>
  <sheetViews>
    <sheetView tabSelected="1" workbookViewId="0">
      <selection activeCell="A2" sqref="A2"/>
    </sheetView>
  </sheetViews>
  <sheetFormatPr defaultRowHeight="14.5"/>
  <cols>
    <col min="1" max="1" width="21.6328125" customWidth="1"/>
  </cols>
  <sheetData>
    <row r="1" spans="1:2" ht="25" customHeight="1">
      <c r="A1" s="63" t="s">
        <v>262</v>
      </c>
    </row>
    <row r="2" spans="1:2" ht="20" customHeight="1">
      <c r="A2" s="12"/>
    </row>
    <row r="3" spans="1:2" ht="20" customHeight="1">
      <c r="A3" s="61" t="s">
        <v>219</v>
      </c>
    </row>
    <row r="4" spans="1:2" ht="20" customHeight="1">
      <c r="A4" s="61" t="s">
        <v>144</v>
      </c>
    </row>
    <row r="5" spans="1:2" ht="20" customHeight="1">
      <c r="A5" s="61" t="s">
        <v>208</v>
      </c>
    </row>
    <row r="6" spans="1:2" ht="20" customHeight="1">
      <c r="A6" s="61" t="s">
        <v>256</v>
      </c>
    </row>
    <row r="7" spans="1:2" ht="20" customHeight="1">
      <c r="A7" s="61" t="s">
        <v>143</v>
      </c>
    </row>
    <row r="8" spans="1:2" ht="15" customHeight="1">
      <c r="A8" s="53"/>
    </row>
    <row r="9" spans="1:2" ht="15" customHeight="1">
      <c r="A9" s="23" t="s">
        <v>55</v>
      </c>
      <c r="B9" s="23" t="s">
        <v>56</v>
      </c>
    </row>
    <row r="10" spans="1:2" ht="15" customHeight="1">
      <c r="A10" s="5" t="s">
        <v>139</v>
      </c>
      <c r="B10" t="s">
        <v>84</v>
      </c>
    </row>
    <row r="11" spans="1:2" ht="15" customHeight="1">
      <c r="A11" s="5" t="s">
        <v>151</v>
      </c>
      <c r="B11" t="s">
        <v>142</v>
      </c>
    </row>
    <row r="12" spans="1:2" ht="15" customHeight="1">
      <c r="A12" s="5" t="s">
        <v>85</v>
      </c>
      <c r="B12" t="s">
        <v>140</v>
      </c>
    </row>
    <row r="13" spans="1:2" ht="15" customHeight="1">
      <c r="A13" s="5" t="s">
        <v>121</v>
      </c>
      <c r="B13" t="s">
        <v>147</v>
      </c>
    </row>
    <row r="14" spans="1:2" ht="15" customHeight="1">
      <c r="A14" s="5" t="s">
        <v>152</v>
      </c>
      <c r="B14" t="s">
        <v>141</v>
      </c>
    </row>
    <row r="15" spans="1:2" ht="15" customHeight="1">
      <c r="A15" s="5" t="s">
        <v>58</v>
      </c>
      <c r="B15" t="s">
        <v>59</v>
      </c>
    </row>
    <row r="16" spans="1:2" ht="15" customHeight="1">
      <c r="A16" s="5"/>
    </row>
    <row r="17" spans="1:1" ht="15" customHeight="1">
      <c r="A17" s="5"/>
    </row>
    <row r="18" spans="1:1" ht="15" customHeight="1">
      <c r="A18" s="23" t="s">
        <v>209</v>
      </c>
    </row>
    <row r="19" spans="1:1" ht="15" customHeight="1">
      <c r="A19" s="53" t="s">
        <v>210</v>
      </c>
    </row>
    <row r="20" spans="1:1" ht="15" customHeight="1"/>
    <row r="21" spans="1:1" ht="15" customHeight="1"/>
    <row r="22" spans="1:1" ht="15" customHeight="1">
      <c r="A22" s="5"/>
    </row>
    <row r="23" spans="1:1" ht="15" customHeight="1">
      <c r="A23" s="5"/>
    </row>
    <row r="24" spans="1:1" ht="15" customHeight="1">
      <c r="A24" s="5" t="s">
        <v>264</v>
      </c>
    </row>
    <row r="25" spans="1:1" ht="15" customHeight="1"/>
    <row r="26" spans="1:1" ht="15" customHeight="1"/>
    <row r="27" spans="1:1" ht="15" customHeight="1"/>
    <row r="28" spans="1:1" ht="15" customHeight="1"/>
    <row r="29" spans="1:1" ht="15" customHeight="1"/>
    <row r="30" spans="1:1" ht="15" customHeight="1"/>
  </sheetData>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dimension ref="A1:K46"/>
  <sheetViews>
    <sheetView workbookViewId="0">
      <selection activeCell="A2" sqref="A2"/>
    </sheetView>
  </sheetViews>
  <sheetFormatPr defaultRowHeight="14.5"/>
  <cols>
    <col min="1" max="12" width="12.6328125" customWidth="1"/>
    <col min="13" max="26" width="11.6328125" customWidth="1"/>
  </cols>
  <sheetData>
    <row r="1" spans="1:11" ht="25" customHeight="1">
      <c r="A1" s="63" t="s">
        <v>183</v>
      </c>
    </row>
    <row r="2" spans="1:11" ht="20" customHeight="1"/>
    <row r="3" spans="1:11" ht="15" customHeight="1">
      <c r="A3" s="9" t="s">
        <v>190</v>
      </c>
    </row>
    <row r="4" spans="1:11" ht="15" customHeight="1">
      <c r="A4" s="9" t="s">
        <v>86</v>
      </c>
    </row>
    <row r="5" spans="1:11" ht="15" customHeight="1">
      <c r="A5" s="6" t="s">
        <v>145</v>
      </c>
    </row>
    <row r="6" spans="1:11" ht="15" customHeight="1">
      <c r="A6" s="9"/>
    </row>
    <row r="7" spans="1:11" ht="15" customHeight="1">
      <c r="A7" s="5" t="s">
        <v>243</v>
      </c>
    </row>
    <row r="8" spans="1:11" ht="15" customHeight="1">
      <c r="A8" t="s">
        <v>191</v>
      </c>
    </row>
    <row r="9" spans="1:11" ht="15" customHeight="1">
      <c r="A9" s="5"/>
    </row>
    <row r="10" spans="1:11" ht="20" customHeight="1">
      <c r="A10" s="131" t="s">
        <v>181</v>
      </c>
      <c r="B10" s="131"/>
      <c r="C10" s="131"/>
      <c r="D10" s="131"/>
      <c r="E10" s="131"/>
      <c r="F10" s="131"/>
      <c r="G10" s="131"/>
      <c r="H10" s="131"/>
      <c r="I10" s="131"/>
      <c r="J10" s="131"/>
      <c r="K10" s="131"/>
    </row>
    <row r="11" spans="1:11" ht="15" customHeight="1">
      <c r="A11" s="80" t="s">
        <v>179</v>
      </c>
      <c r="B11" s="80">
        <f>SUM(C11:K11)</f>
        <v>7200</v>
      </c>
      <c r="C11" s="80">
        <v>800</v>
      </c>
      <c r="D11" s="80">
        <v>3200</v>
      </c>
      <c r="E11" s="80">
        <v>3200</v>
      </c>
      <c r="F11" s="80"/>
      <c r="G11" s="80"/>
      <c r="H11" s="80"/>
      <c r="I11" s="80"/>
      <c r="J11" s="80"/>
      <c r="K11" s="80"/>
    </row>
    <row r="12" spans="1:11" ht="15" customHeight="1">
      <c r="B12" s="72" t="s">
        <v>13</v>
      </c>
      <c r="C12" s="72" t="s">
        <v>187</v>
      </c>
      <c r="D12" s="72" t="s">
        <v>188</v>
      </c>
      <c r="E12" s="72" t="s">
        <v>189</v>
      </c>
      <c r="F12" s="81"/>
      <c r="G12" s="81"/>
      <c r="H12" s="81"/>
      <c r="I12" s="81"/>
      <c r="J12" s="81"/>
      <c r="K12" s="81"/>
    </row>
    <row r="13" spans="1:11" ht="15" customHeight="1">
      <c r="A13" s="40" t="s">
        <v>12</v>
      </c>
      <c r="B13" s="40" t="s">
        <v>178</v>
      </c>
      <c r="C13" s="40" t="s">
        <v>174</v>
      </c>
      <c r="D13" s="40" t="s">
        <v>175</v>
      </c>
      <c r="E13" s="40" t="s">
        <v>176</v>
      </c>
      <c r="F13" s="40" t="s">
        <v>153</v>
      </c>
      <c r="G13" s="40" t="s">
        <v>154</v>
      </c>
      <c r="H13" s="40" t="s">
        <v>155</v>
      </c>
      <c r="I13" s="40" t="s">
        <v>156</v>
      </c>
      <c r="J13" s="40" t="s">
        <v>157</v>
      </c>
      <c r="K13" s="40" t="s">
        <v>177</v>
      </c>
    </row>
    <row r="14" spans="1:11" ht="15" customHeight="1">
      <c r="A14" s="1" t="s">
        <v>0</v>
      </c>
      <c r="B14">
        <f>SUM(C14:K14)</f>
        <v>444</v>
      </c>
      <c r="C14">
        <v>75</v>
      </c>
      <c r="D14">
        <v>208</v>
      </c>
      <c r="E14">
        <v>161</v>
      </c>
    </row>
    <row r="15" spans="1:11" ht="15" customHeight="1">
      <c r="A15" s="1" t="s">
        <v>1</v>
      </c>
      <c r="B15">
        <f t="shared" ref="B15:B26" si="0">SUM(C15:K15)</f>
        <v>553</v>
      </c>
      <c r="C15">
        <v>84</v>
      </c>
      <c r="D15">
        <v>254</v>
      </c>
      <c r="E15">
        <v>215</v>
      </c>
    </row>
    <row r="16" spans="1:11" ht="15" customHeight="1">
      <c r="A16" s="1" t="s">
        <v>2</v>
      </c>
      <c r="B16">
        <f t="shared" si="0"/>
        <v>797</v>
      </c>
      <c r="C16">
        <v>108</v>
      </c>
      <c r="D16">
        <v>369</v>
      </c>
      <c r="E16">
        <v>320</v>
      </c>
    </row>
    <row r="17" spans="1:11" ht="15" customHeight="1">
      <c r="A17" s="1" t="s">
        <v>3</v>
      </c>
      <c r="B17">
        <f t="shared" si="0"/>
        <v>921</v>
      </c>
      <c r="C17">
        <v>114</v>
      </c>
      <c r="D17">
        <v>422</v>
      </c>
      <c r="E17">
        <v>385</v>
      </c>
    </row>
    <row r="18" spans="1:11" ht="15" customHeight="1">
      <c r="A18" s="1" t="s">
        <v>4</v>
      </c>
      <c r="B18">
        <f t="shared" si="0"/>
        <v>1026</v>
      </c>
      <c r="C18">
        <v>117</v>
      </c>
      <c r="D18">
        <v>485</v>
      </c>
      <c r="E18">
        <v>424</v>
      </c>
    </row>
    <row r="19" spans="1:11" ht="15" customHeight="1">
      <c r="A19" s="1" t="s">
        <v>5</v>
      </c>
      <c r="B19">
        <f t="shared" si="0"/>
        <v>1073</v>
      </c>
      <c r="C19">
        <v>119</v>
      </c>
      <c r="D19">
        <v>496</v>
      </c>
      <c r="E19">
        <v>458</v>
      </c>
    </row>
    <row r="20" spans="1:11" ht="15" customHeight="1">
      <c r="A20" s="1" t="s">
        <v>6</v>
      </c>
      <c r="B20">
        <f t="shared" si="0"/>
        <v>1009</v>
      </c>
      <c r="C20">
        <v>115</v>
      </c>
      <c r="D20">
        <v>488</v>
      </c>
      <c r="E20">
        <v>406</v>
      </c>
    </row>
    <row r="21" spans="1:11" ht="15" customHeight="1">
      <c r="A21" s="1" t="s">
        <v>7</v>
      </c>
      <c r="B21">
        <f t="shared" si="0"/>
        <v>956</v>
      </c>
      <c r="C21">
        <v>115</v>
      </c>
      <c r="D21">
        <v>454</v>
      </c>
      <c r="E21">
        <v>387</v>
      </c>
    </row>
    <row r="22" spans="1:11" ht="15" customHeight="1">
      <c r="A22" s="1" t="s">
        <v>8</v>
      </c>
      <c r="B22">
        <f t="shared" si="0"/>
        <v>812</v>
      </c>
      <c r="C22">
        <v>106</v>
      </c>
      <c r="D22">
        <v>378</v>
      </c>
      <c r="E22">
        <v>328</v>
      </c>
    </row>
    <row r="23" spans="1:11" ht="15" customHeight="1">
      <c r="A23" s="1" t="s">
        <v>9</v>
      </c>
      <c r="B23">
        <f t="shared" si="0"/>
        <v>620</v>
      </c>
      <c r="C23">
        <v>91</v>
      </c>
      <c r="D23">
        <v>287</v>
      </c>
      <c r="E23">
        <v>242</v>
      </c>
    </row>
    <row r="24" spans="1:11" ht="15" customHeight="1">
      <c r="A24" s="1" t="s">
        <v>10</v>
      </c>
      <c r="B24">
        <f t="shared" si="0"/>
        <v>490</v>
      </c>
      <c r="C24">
        <v>81</v>
      </c>
      <c r="D24">
        <v>228</v>
      </c>
      <c r="E24">
        <v>181</v>
      </c>
    </row>
    <row r="25" spans="1:11" ht="15" customHeight="1">
      <c r="A25" s="13" t="s">
        <v>11</v>
      </c>
      <c r="B25" s="14">
        <f t="shared" si="0"/>
        <v>416</v>
      </c>
      <c r="C25" s="14">
        <v>74</v>
      </c>
      <c r="D25" s="14">
        <v>197</v>
      </c>
      <c r="E25" s="14">
        <v>145</v>
      </c>
      <c r="F25" s="14"/>
      <c r="G25" s="14"/>
      <c r="H25" s="14"/>
      <c r="I25" s="14"/>
      <c r="J25" s="14"/>
      <c r="K25" s="14"/>
    </row>
    <row r="26" spans="1:11" ht="15" customHeight="1">
      <c r="A26" s="4" t="s">
        <v>180</v>
      </c>
      <c r="B26" s="5">
        <f t="shared" si="0"/>
        <v>9117</v>
      </c>
      <c r="C26">
        <f t="shared" ref="C26:K26" si="1">IF(SUM(C14:C25) =0,"",SUM(C14:C25))</f>
        <v>1199</v>
      </c>
      <c r="D26">
        <f t="shared" si="1"/>
        <v>4266</v>
      </c>
      <c r="E26">
        <f t="shared" si="1"/>
        <v>3652</v>
      </c>
      <c r="F26" t="str">
        <f t="shared" si="1"/>
        <v/>
      </c>
      <c r="G26" t="str">
        <f t="shared" si="1"/>
        <v/>
      </c>
      <c r="H26" t="str">
        <f t="shared" si="1"/>
        <v/>
      </c>
      <c r="I26" t="str">
        <f t="shared" si="1"/>
        <v/>
      </c>
      <c r="J26" t="str">
        <f t="shared" si="1"/>
        <v/>
      </c>
      <c r="K26" t="str">
        <f t="shared" si="1"/>
        <v/>
      </c>
    </row>
    <row r="27" spans="1:11" ht="15" customHeight="1">
      <c r="A27" s="4" t="s">
        <v>19</v>
      </c>
      <c r="B27" s="1" t="s">
        <v>18</v>
      </c>
      <c r="C27" s="1" t="s">
        <v>15</v>
      </c>
      <c r="D27" s="1" t="s">
        <v>16</v>
      </c>
      <c r="E27" s="1" t="s">
        <v>17</v>
      </c>
    </row>
    <row r="28" spans="1:11" ht="15" customHeight="1">
      <c r="B28" s="72">
        <v>8971</v>
      </c>
      <c r="C28" s="93" t="s">
        <v>193</v>
      </c>
      <c r="F28" s="4"/>
      <c r="G28" s="1"/>
      <c r="H28" s="1"/>
    </row>
    <row r="29" spans="1:11" ht="15" customHeight="1">
      <c r="B29" s="81"/>
      <c r="C29" s="81" t="s">
        <v>87</v>
      </c>
    </row>
    <row r="30" spans="1:11" ht="15" customHeight="1"/>
    <row r="32" spans="1:11" ht="18.5">
      <c r="A32" s="132" t="s">
        <v>182</v>
      </c>
      <c r="B32" s="132"/>
      <c r="C32" s="132"/>
      <c r="D32" s="132"/>
      <c r="E32" s="132"/>
      <c r="F32" s="132"/>
      <c r="G32" s="132"/>
      <c r="H32" s="132"/>
      <c r="I32" s="132"/>
      <c r="J32" s="132"/>
      <c r="K32" s="132"/>
    </row>
    <row r="33" spans="1:11" ht="15.5">
      <c r="A33" s="40" t="s">
        <v>12</v>
      </c>
      <c r="B33" s="40" t="s">
        <v>178</v>
      </c>
      <c r="C33" s="40" t="s">
        <v>174</v>
      </c>
      <c r="D33" s="40" t="s">
        <v>175</v>
      </c>
      <c r="E33" s="40" t="s">
        <v>176</v>
      </c>
      <c r="F33" s="40" t="s">
        <v>153</v>
      </c>
      <c r="G33" s="40" t="s">
        <v>154</v>
      </c>
      <c r="H33" s="40" t="s">
        <v>155</v>
      </c>
      <c r="I33" s="40" t="s">
        <v>156</v>
      </c>
      <c r="J33" s="40" t="s">
        <v>157</v>
      </c>
      <c r="K33" s="40" t="s">
        <v>177</v>
      </c>
    </row>
    <row r="34" spans="1:11">
      <c r="A34" s="1" t="s">
        <v>0</v>
      </c>
      <c r="B34" s="16">
        <f>IF($B$11=0,"",B14*1000/($B$11*24*31))</f>
        <v>8.2885304659498213E-2</v>
      </c>
      <c r="C34" s="16">
        <f>IF($C$11=0,"",C14*1000/($C$11*24*31))</f>
        <v>0.12600806451612903</v>
      </c>
      <c r="D34" s="16">
        <f>IF($D$11=0,"",D14*1000/($D$11*24*31))</f>
        <v>8.7365591397849468E-2</v>
      </c>
      <c r="E34" s="16">
        <f>IF($E$11=0,"",E14*1000/($E$11*24*31))</f>
        <v>6.762432795698925E-2</v>
      </c>
      <c r="F34" s="16" t="str">
        <f>IF($F$11=0,"",F14*1000/($F$11*24*31))</f>
        <v/>
      </c>
      <c r="G34" s="16" t="str">
        <f>IF($G$11=0,"",G14*1000/($G$11*24*31))</f>
        <v/>
      </c>
      <c r="H34" s="16" t="str">
        <f>IF($H$11=0,"",H14*1000/($H$11*24*31))</f>
        <v/>
      </c>
      <c r="I34" s="16" t="str">
        <f>IF($I$11=0,"",I14*1000/($I$11*24*31))</f>
        <v/>
      </c>
      <c r="J34" s="16" t="str">
        <f>IF($J$11=0,"",J14*1000/($J$11*24*31))</f>
        <v/>
      </c>
      <c r="K34" s="16" t="str">
        <f>IF($K$11=0,"",K14*1000/($K$11*24*31))</f>
        <v/>
      </c>
    </row>
    <row r="35" spans="1:11">
      <c r="A35" s="1" t="s">
        <v>1</v>
      </c>
      <c r="B35" s="16">
        <f>IF($B$11=0,"",B15*1000/($B$11*24*28))</f>
        <v>0.11429398148148148</v>
      </c>
      <c r="C35" s="16">
        <f>IF($C$11=0,"",C15*1000/($C$11*24*28))</f>
        <v>0.15625</v>
      </c>
      <c r="D35" s="16">
        <f>IF($D$11=0,"",D15*1000/($D$11*24*28))</f>
        <v>0.11811755952380952</v>
      </c>
      <c r="E35" s="16">
        <f>IF($E$11=0,"",E15*1000/($E$11*24*28))</f>
        <v>9.9981398809523808E-2</v>
      </c>
      <c r="F35" s="16" t="str">
        <f>IF($F$11=0,"",F15*1000/($F$11*24*28))</f>
        <v/>
      </c>
      <c r="G35" s="16" t="str">
        <f>IF($G$11=0,"",G15*1000/($G$11*24*28))</f>
        <v/>
      </c>
      <c r="H35" s="16" t="str">
        <f>IF($H$11=0,"",H15*1000/($H$11*24*28))</f>
        <v/>
      </c>
      <c r="I35" s="16" t="str">
        <f>IF($I$11=0,"",I15*1000/($I$11*24*28))</f>
        <v/>
      </c>
      <c r="J35" s="16" t="str">
        <f>IF($J$11=0,"",J15*1000/($J$11*24*28))</f>
        <v/>
      </c>
      <c r="K35" s="16" t="str">
        <f>IF($K$11=0,"",K15*1000/($K$11*24*28))</f>
        <v/>
      </c>
    </row>
    <row r="36" spans="1:11">
      <c r="A36" s="1" t="s">
        <v>2</v>
      </c>
      <c r="B36" s="16">
        <f>IF($B$11=0,"",B16*1000/($B$11*24*31))</f>
        <v>0.14878285543608125</v>
      </c>
      <c r="C36" s="16">
        <f>IF($C$11=0,"",C16*1000/($C$11*24*31))</f>
        <v>0.18145161290322581</v>
      </c>
      <c r="D36" s="16">
        <f>IF($D$11=0,"",D16*1000/($D$11*24*31))</f>
        <v>0.15498991935483872</v>
      </c>
      <c r="E36" s="16">
        <f>IF($E$11=0,"",E16*1000/($E$11*24*31))</f>
        <v>0.13440860215053763</v>
      </c>
      <c r="F36" s="16" t="str">
        <f>IF($F$11=0,"",F16*1000/($F$11*24*31))</f>
        <v/>
      </c>
      <c r="G36" s="16" t="str">
        <f>IF($G$11=0,"",G16*1000/($G$11*24*31))</f>
        <v/>
      </c>
      <c r="H36" s="16" t="str">
        <f>IF($H$11=0,"",H16*1000/($H$11*24*31))</f>
        <v/>
      </c>
      <c r="I36" s="16" t="str">
        <f>IF($I$11=0,"",I16*1000/($I$11*24*31))</f>
        <v/>
      </c>
      <c r="J36" s="16" t="str">
        <f>IF($J$11=0,"",J16*1000/($J$11*24*31))</f>
        <v/>
      </c>
      <c r="K36" s="16" t="str">
        <f>IF($K$11=0,"",K16*1000/($K$11*24*31))</f>
        <v/>
      </c>
    </row>
    <row r="37" spans="1:11">
      <c r="A37" s="1" t="s">
        <v>3</v>
      </c>
      <c r="B37" s="16">
        <f>IF($B$11=0,"",B17*1000/($B$11*24*30))</f>
        <v>0.17766203703703703</v>
      </c>
      <c r="C37" s="16">
        <f>IF($C$11=0,"",C17*1000/($C$11*24*30))</f>
        <v>0.19791666666666666</v>
      </c>
      <c r="D37" s="16">
        <f>IF($D$11=0,"",D17*1000/($D$11*24*30))</f>
        <v>0.18315972222222221</v>
      </c>
      <c r="E37" s="16">
        <f>IF($E$11=0,"",E17*1000/($E$11*24*30))</f>
        <v>0.16710069444444445</v>
      </c>
      <c r="F37" s="16" t="str">
        <f>IF($F$11=0,"",F17*1000/($F$11*24*30))</f>
        <v/>
      </c>
      <c r="G37" s="16" t="str">
        <f>IF($G$11=0,"",G17*1000/($G$11*24*30))</f>
        <v/>
      </c>
      <c r="H37" s="16" t="str">
        <f>IF($H$11=0,"",H17*1000/($H$11*24*30))</f>
        <v/>
      </c>
      <c r="I37" s="16" t="str">
        <f>IF($I$11=0,"",I17*1000/($I$11*24*30))</f>
        <v/>
      </c>
      <c r="J37" s="16" t="str">
        <f>IF($J$11=0,"",J17*1000/($J$11*24*30))</f>
        <v/>
      </c>
      <c r="K37" s="16" t="str">
        <f>IF($K$11=0,"",K17*1000/($K$11*24*30))</f>
        <v/>
      </c>
    </row>
    <row r="38" spans="1:11">
      <c r="A38" s="1" t="s">
        <v>4</v>
      </c>
      <c r="B38" s="16">
        <f>IF($B$11=0,"",B18*1000/($B$11*24*31))</f>
        <v>0.19153225806451613</v>
      </c>
      <c r="C38" s="16">
        <f>IF($C$11=0,"",C18*1000/($C$11*24*31))</f>
        <v>0.19657258064516128</v>
      </c>
      <c r="D38" s="16">
        <f>IF($D$11=0,"",D18*1000/($D$11*24*31))</f>
        <v>0.20371303763440859</v>
      </c>
      <c r="E38" s="16">
        <f>IF($E$11=0,"",E18*1000/($E$11*24*31))</f>
        <v>0.17809139784946237</v>
      </c>
      <c r="F38" s="16" t="str">
        <f>IF($F$11=0,"",F18*1000/($F$11*24*31))</f>
        <v/>
      </c>
      <c r="G38" s="16" t="str">
        <f>IF($G$11=0,"",G18*1000/($G$11*24*31))</f>
        <v/>
      </c>
      <c r="H38" s="16" t="str">
        <f>IF($H$11=0,"",H18*1000/($H$11*24*31))</f>
        <v/>
      </c>
      <c r="I38" s="16" t="str">
        <f>IF($I$11=0,"",I18*1000/($I$11*24*31))</f>
        <v/>
      </c>
      <c r="J38" s="16" t="str">
        <f>IF($J$11=0,"",J18*1000/($J$11*24*31))</f>
        <v/>
      </c>
      <c r="K38" s="16" t="str">
        <f>IF($K$11=0,"",K18*1000/($K$11*24*31))</f>
        <v/>
      </c>
    </row>
    <row r="39" spans="1:11">
      <c r="A39" s="1" t="s">
        <v>5</v>
      </c>
      <c r="B39" s="16">
        <f>IF($B$11=0,"",B19*1000/($B$11*24*30))</f>
        <v>0.20698302469135801</v>
      </c>
      <c r="C39" s="16">
        <f>IF($C$11=0,"",C19*1000/($C$11*24*30))</f>
        <v>0.20659722222222221</v>
      </c>
      <c r="D39" s="16">
        <f>IF($D$11=0,"",D19*1000/($D$11*24*30))</f>
        <v>0.21527777777777779</v>
      </c>
      <c r="E39" s="16">
        <f>IF($E$11=0,"",E19*1000/($E$11*24*30))</f>
        <v>0.19878472222222221</v>
      </c>
      <c r="F39" s="16" t="str">
        <f>IF($F$11=0,"",F19*1000/($F$11*24*30))</f>
        <v/>
      </c>
      <c r="G39" s="16" t="str">
        <f>IF($G$11=0,"",G19*1000/($G$11*24*30))</f>
        <v/>
      </c>
      <c r="H39" s="16" t="str">
        <f>IF($H$11=0,"",H19*1000/($H$11*24*30))</f>
        <v/>
      </c>
      <c r="I39" s="16" t="str">
        <f>IF($I$11=0,"",I19*1000/($I$11*24*30))</f>
        <v/>
      </c>
      <c r="J39" s="16" t="str">
        <f>IF($J$11=0,"",J19*1000/($J$11*24*30))</f>
        <v/>
      </c>
      <c r="K39" s="16" t="str">
        <f>IF($K$11=0,"",K19*1000/($K$11*24*30))</f>
        <v/>
      </c>
    </row>
    <row r="40" spans="1:11">
      <c r="A40" s="1" t="s">
        <v>6</v>
      </c>
      <c r="B40" s="16">
        <f>IF($B$11=0,"",B20*1000/($B$11*24*31))</f>
        <v>0.18835872162485065</v>
      </c>
      <c r="C40" s="16">
        <f>IF($C$11=0,"",C20*1000/($C$11*24*31))</f>
        <v>0.19321236559139784</v>
      </c>
      <c r="D40" s="16">
        <f>IF($D$11=0,"",D20*1000/($D$11*24*31))</f>
        <v>0.2049731182795699</v>
      </c>
      <c r="E40" s="16">
        <f>IF($E$11=0,"",E20*1000/($E$11*24*31))</f>
        <v>0.17053091397849462</v>
      </c>
      <c r="F40" s="16" t="str">
        <f>IF($F$11=0,"",F20*1000/($F$11*24*31))</f>
        <v/>
      </c>
      <c r="G40" s="16" t="str">
        <f>IF($G$11=0,"",G20*1000/($G$11*24*31))</f>
        <v/>
      </c>
      <c r="H40" s="16" t="str">
        <f>IF($H$11=0,"",H20*1000/($H$11*24*31))</f>
        <v/>
      </c>
      <c r="I40" s="16" t="str">
        <f>IF($I$11=0,"",I20*1000/($I$11*24*31))</f>
        <v/>
      </c>
      <c r="J40" s="16" t="str">
        <f>IF($J$11=0,"",J20*1000/($J$11*24*31))</f>
        <v/>
      </c>
      <c r="K40" s="16" t="str">
        <f>IF($K$11=0,"",K20*1000/($K$11*24*31))</f>
        <v/>
      </c>
    </row>
    <row r="41" spans="1:11">
      <c r="A41" s="1" t="s">
        <v>7</v>
      </c>
      <c r="B41" s="16">
        <f>IF($B$11=0,"",B21*1000/($B$11*24*31))</f>
        <v>0.1784647550776583</v>
      </c>
      <c r="C41" s="16">
        <f>IF($C$11=0,"",C21*1000/($C$11*24*31))</f>
        <v>0.19321236559139784</v>
      </c>
      <c r="D41" s="16">
        <f>IF($D$11=0,"",D21*1000/($D$11*24*31))</f>
        <v>0.19069220430107528</v>
      </c>
      <c r="E41" s="16">
        <f>IF($E$11=0,"",E21*1000/($E$11*24*31))</f>
        <v>0.16255040322580644</v>
      </c>
      <c r="F41" s="16" t="str">
        <f>IF($F$11=0,"",F21*1000/($F$11*24*31))</f>
        <v/>
      </c>
      <c r="G41" s="16" t="str">
        <f>IF($G$11=0,"",G21*1000/($G$11*24*31))</f>
        <v/>
      </c>
      <c r="H41" s="16" t="str">
        <f>IF($H$11=0,"",H21*1000/($H$11*24*31))</f>
        <v/>
      </c>
      <c r="I41" s="16" t="str">
        <f>IF($I$11=0,"",I21*1000/($I$11*24*31))</f>
        <v/>
      </c>
      <c r="J41" s="16" t="str">
        <f>IF($J$11=0,"",J21*1000/($J$11*24*31))</f>
        <v/>
      </c>
      <c r="K41" s="16" t="str">
        <f>IF($K$11=0,"",K21*1000/($K$11*24*31))</f>
        <v/>
      </c>
    </row>
    <row r="42" spans="1:11">
      <c r="A42" s="1" t="s">
        <v>8</v>
      </c>
      <c r="B42" s="16">
        <f>IF($B$11=0,"",B22*1000/($B$11*24*30))</f>
        <v>0.1566358024691358</v>
      </c>
      <c r="C42" s="16">
        <f>IF($C$11=0,"",C22*1000/($C$11*24*30))</f>
        <v>0.18402777777777779</v>
      </c>
      <c r="D42" s="16">
        <f>IF($D$11=0,"",D22*1000/($D$11*24*30))</f>
        <v>0.1640625</v>
      </c>
      <c r="E42" s="16">
        <f>IF($E$11=0,"",E22*1000/($E$11*24*30))</f>
        <v>0.1423611111111111</v>
      </c>
      <c r="F42" s="16" t="str">
        <f>IF($F$11=0,"",F22*1000/($F$11*24*30))</f>
        <v/>
      </c>
      <c r="G42" s="16" t="str">
        <f>IF($G$11=0,"",G22*1000/($G$11*24*30))</f>
        <v/>
      </c>
      <c r="H42" s="16" t="str">
        <f>IF($H$11=0,"",H22*1000/($H$11*24*30))</f>
        <v/>
      </c>
      <c r="I42" s="16" t="str">
        <f>IF($I$11=0,"",I22*1000/($I$11*24*30))</f>
        <v/>
      </c>
      <c r="J42" s="16" t="str">
        <f>IF($J$11=0,"",J22*1000/($J$11*24*30))</f>
        <v/>
      </c>
      <c r="K42" s="16" t="str">
        <f>IF($K$11=0,"",K22*1000/($K$11*24*30))</f>
        <v/>
      </c>
    </row>
    <row r="43" spans="1:11">
      <c r="A43" s="1" t="s">
        <v>9</v>
      </c>
      <c r="B43" s="16">
        <f>IF($B$11=0,"",B23*1000/($B$11*24*31))</f>
        <v>0.11574074074074074</v>
      </c>
      <c r="C43" s="16">
        <f>IF($C$11=0,"",C23*1000/($C$11*24*31))</f>
        <v>0.15288978494623656</v>
      </c>
      <c r="D43" s="16">
        <f>IF($D$11=0,"",D23*1000/($D$11*24*31))</f>
        <v>0.12054771505376344</v>
      </c>
      <c r="E43" s="16">
        <f>IF($E$11=0,"",E23*1000/($E$11*24*31))</f>
        <v>0.10164650537634409</v>
      </c>
      <c r="F43" s="16" t="str">
        <f>IF($F$11=0,"",F23*1000/($F$11*24*31))</f>
        <v/>
      </c>
      <c r="G43" s="16" t="str">
        <f>IF($G$11=0,"",G23*1000/($G$11*24*31))</f>
        <v/>
      </c>
      <c r="H43" s="16" t="str">
        <f>IF($H$11=0,"",H23*1000/($H$11*24*31))</f>
        <v/>
      </c>
      <c r="I43" s="16" t="str">
        <f>IF($I$11=0,"",I23*1000/($I$11*24*31))</f>
        <v/>
      </c>
      <c r="J43" s="16" t="str">
        <f>IF($J$11=0,"",J23*1000/($J$11*24*31))</f>
        <v/>
      </c>
      <c r="K43" s="16" t="str">
        <f>IF($K$11=0,"",K23*1000/($K$11*24*31))</f>
        <v/>
      </c>
    </row>
    <row r="44" spans="1:11">
      <c r="A44" s="1" t="s">
        <v>10</v>
      </c>
      <c r="B44" s="16">
        <f>IF($B$11=0,"",B24*1000/($B$11*24*30))</f>
        <v>9.4521604938271608E-2</v>
      </c>
      <c r="C44" s="16">
        <f>IF($C$11=0,"",C24*1000/($C$11*24*30))</f>
        <v>0.140625</v>
      </c>
      <c r="D44" s="16">
        <f>IF($D$11=0,"",D24*1000/($D$11*24*30))</f>
        <v>9.8958333333333329E-2</v>
      </c>
      <c r="E44" s="16">
        <f>IF($E$11=0,"",E24*1000/($E$11*24*30))</f>
        <v>7.8559027777777776E-2</v>
      </c>
      <c r="F44" s="16" t="str">
        <f>IF($F$11=0,"",F24*1000/($F$11*24*30))</f>
        <v/>
      </c>
      <c r="G44" s="16" t="str">
        <f>IF($G$11=0,"",G24*1000/($G$11*24*30))</f>
        <v/>
      </c>
      <c r="H44" s="16" t="str">
        <f>IF($H$11=0,"",H24*1000/($H$11*24*30))</f>
        <v/>
      </c>
      <c r="I44" s="16" t="str">
        <f>IF($I$11=0,"",I24*1000/($I$11*24*30))</f>
        <v/>
      </c>
      <c r="J44" s="16" t="str">
        <f>IF($J$11=0,"",J24*1000/($J$11*24*30))</f>
        <v/>
      </c>
      <c r="K44" s="16" t="str">
        <f>IF($K$11=0,"",K24*1000/($K$11*24*30))</f>
        <v/>
      </c>
    </row>
    <row r="45" spans="1:11">
      <c r="A45" s="13" t="s">
        <v>11</v>
      </c>
      <c r="B45" s="94">
        <f>IF($B$11=0,"",B25*1000/($B$11*24*31))</f>
        <v>7.765830346475508E-2</v>
      </c>
      <c r="C45" s="94">
        <f>IF($C$11=0,"",C25*1000/($C$11*24*31))</f>
        <v>0.12432795698924731</v>
      </c>
      <c r="D45" s="94">
        <f>IF($D$11=0,"",D25*1000/($D$11*24*31))</f>
        <v>8.2745295698924734E-2</v>
      </c>
      <c r="E45" s="94">
        <f>IF($E$11=0,"",E25*1000/($E$11*24*31))</f>
        <v>6.0903897849462367E-2</v>
      </c>
      <c r="F45" s="94" t="str">
        <f>IF($F$11=0,"",F25*1000/($F$11*24*31))</f>
        <v/>
      </c>
      <c r="G45" s="94" t="str">
        <f>IF($G$11=0,"",G25*1000/($G$11*24*31))</f>
        <v/>
      </c>
      <c r="H45" s="94" t="str">
        <f>IF($H$11=0,"",H25*1000/($H$11*24*31))</f>
        <v/>
      </c>
      <c r="I45" s="94" t="str">
        <f>IF($I$11=0,"",I25*1000/($I$11*24*31))</f>
        <v/>
      </c>
      <c r="J45" s="94" t="str">
        <f>IF($J$11=0,"",J25*1000/($J$11*24*31))</f>
        <v/>
      </c>
      <c r="K45" s="94" t="str">
        <f>IF($K$11=0,"",K25*1000/($K$11*24*31))</f>
        <v/>
      </c>
    </row>
    <row r="46" spans="1:11">
      <c r="A46" s="92" t="s">
        <v>44</v>
      </c>
      <c r="B46" s="16">
        <f>IF($B$11=0,"",B26*1000/($B$11*24*365))</f>
        <v>0.14454908675799086</v>
      </c>
      <c r="C46" s="16">
        <f>IF($C$11=0,"",C26*1000/($C$11*24*365))</f>
        <v>0.17109018264840184</v>
      </c>
      <c r="D46" s="16">
        <f>IF($D$11=0,"",D26*1000/($D$11*24*365))</f>
        <v>0.1521832191780822</v>
      </c>
      <c r="E46" s="16">
        <f>IF($E$11=0,"",E26*1000/($E$11*24*365))</f>
        <v>0.1302796803652968</v>
      </c>
      <c r="F46" s="16" t="str">
        <f>IF($F$11=0,"",F26*1000/($F$11*24*365))</f>
        <v/>
      </c>
      <c r="G46" s="16" t="str">
        <f>IF($G$11=0,"",G26*1000/($G$11*24*365))</f>
        <v/>
      </c>
      <c r="H46" s="16" t="str">
        <f>IF($H$11=0,"",H26*1000/($H$11*24*365))</f>
        <v/>
      </c>
      <c r="I46" s="16" t="str">
        <f>IF($I$11=0,"",I26*1000/($I$11*24*365))</f>
        <v/>
      </c>
      <c r="J46" s="16" t="str">
        <f>IF($J$11=0,"",J26*1000/($J$11*24*365))</f>
        <v/>
      </c>
      <c r="K46" s="16" t="str">
        <f>IF($K$11=0,"",K26*1000/($K$11*24*365))</f>
        <v/>
      </c>
    </row>
  </sheetData>
  <mergeCells count="2">
    <mergeCell ref="A10:K10"/>
    <mergeCell ref="A32:K32"/>
  </mergeCells>
  <pageMargins left="0.7" right="0.7" top="0.75" bottom="0.75" header="0.3" footer="0.3"/>
  <pageSetup orientation="portrait" horizontalDpi="4294967293" verticalDpi="4294967293" r:id="rId1"/>
  <ignoredErrors>
    <ignoredError sqref="B35 B37:B44 C35:H44 I35:J44 K35:K44" formula="1"/>
  </ignoredErrors>
  <drawing r:id="rId2"/>
</worksheet>
</file>

<file path=xl/worksheets/sheet3.xml><?xml version="1.0" encoding="utf-8"?>
<worksheet xmlns="http://schemas.openxmlformats.org/spreadsheetml/2006/main" xmlns:r="http://schemas.openxmlformats.org/officeDocument/2006/relationships">
  <dimension ref="A1:AK113"/>
  <sheetViews>
    <sheetView workbookViewId="0">
      <selection activeCell="A2" sqref="A2"/>
    </sheetView>
  </sheetViews>
  <sheetFormatPr defaultRowHeight="14.5"/>
  <cols>
    <col min="1" max="1" width="10.6328125" customWidth="1"/>
    <col min="2" max="6" width="8.6328125" customWidth="1"/>
    <col min="7" max="8" width="10.6328125" customWidth="1"/>
    <col min="9" max="11" width="8.6328125" customWidth="1"/>
    <col min="12" max="12" width="10.6328125" customWidth="1"/>
    <col min="13" max="15" width="8.6328125" customWidth="1"/>
    <col min="16" max="16" width="12.6328125" customWidth="1"/>
    <col min="17" max="30" width="8.6328125" customWidth="1"/>
    <col min="31" max="32" width="7.6328125" customWidth="1"/>
    <col min="33" max="35" width="6.6328125" customWidth="1"/>
    <col min="36" max="36" width="6.81640625" customWidth="1"/>
  </cols>
  <sheetData>
    <row r="1" spans="1:1" ht="25" customHeight="1">
      <c r="A1" s="63" t="s">
        <v>131</v>
      </c>
    </row>
    <row r="2" spans="1:1" ht="20" customHeight="1">
      <c r="A2" s="7"/>
    </row>
    <row r="3" spans="1:1" ht="15" customHeight="1">
      <c r="A3" s="5" t="s">
        <v>146</v>
      </c>
    </row>
    <row r="4" spans="1:1" ht="15" customHeight="1">
      <c r="A4" s="7"/>
    </row>
    <row r="5" spans="1:1" ht="15" customHeight="1">
      <c r="A5" s="62" t="s">
        <v>233</v>
      </c>
    </row>
    <row r="6" spans="1:1" ht="15" customHeight="1">
      <c r="A6" s="9" t="s">
        <v>254</v>
      </c>
    </row>
    <row r="7" spans="1:1" ht="15" customHeight="1">
      <c r="A7" t="s">
        <v>123</v>
      </c>
    </row>
    <row r="8" spans="1:1" ht="15" customHeight="1"/>
    <row r="9" spans="1:1" ht="15" customHeight="1">
      <c r="A9" t="s">
        <v>255</v>
      </c>
    </row>
    <row r="10" spans="1:1" ht="15" customHeight="1">
      <c r="A10" s="9" t="s">
        <v>240</v>
      </c>
    </row>
    <row r="11" spans="1:1" ht="15" customHeight="1">
      <c r="A11" s="9" t="s">
        <v>24</v>
      </c>
    </row>
    <row r="12" spans="1:1" ht="15" customHeight="1">
      <c r="A12" s="9" t="s">
        <v>241</v>
      </c>
    </row>
    <row r="13" spans="1:1" ht="15" customHeight="1">
      <c r="A13" s="9" t="s">
        <v>242</v>
      </c>
    </row>
    <row r="14" spans="1:1" ht="15" customHeight="1">
      <c r="A14" t="s">
        <v>231</v>
      </c>
    </row>
    <row r="15" spans="1:1" ht="15" customHeight="1">
      <c r="A15" t="s">
        <v>234</v>
      </c>
    </row>
    <row r="16" spans="1:1" ht="15" customHeight="1">
      <c r="A16" s="9"/>
    </row>
    <row r="17" spans="1:24" ht="15" customHeight="1">
      <c r="A17" t="s">
        <v>235</v>
      </c>
    </row>
    <row r="18" spans="1:24" ht="15" customHeight="1">
      <c r="A18" t="s">
        <v>236</v>
      </c>
    </row>
    <row r="19" spans="1:24" ht="15" customHeight="1">
      <c r="A19" s="9" t="s">
        <v>122</v>
      </c>
    </row>
    <row r="20" spans="1:24" ht="15" customHeight="1">
      <c r="A20" s="6" t="s">
        <v>237</v>
      </c>
    </row>
    <row r="21" spans="1:24" ht="15" customHeight="1">
      <c r="A21" s="6" t="s">
        <v>238</v>
      </c>
    </row>
    <row r="22" spans="1:24" ht="15" customHeight="1">
      <c r="A22" s="6" t="s">
        <v>109</v>
      </c>
    </row>
    <row r="23" spans="1:24" ht="15" customHeight="1">
      <c r="A23" s="60"/>
    </row>
    <row r="24" spans="1:24" ht="15" customHeight="1">
      <c r="A24" s="10" t="s">
        <v>22</v>
      </c>
      <c r="B24" s="10" t="s">
        <v>20</v>
      </c>
      <c r="C24" s="10" t="s">
        <v>14</v>
      </c>
      <c r="D24" s="10" t="s">
        <v>246</v>
      </c>
      <c r="X24" s="40"/>
    </row>
    <row r="25" spans="1:24" ht="15" customHeight="1">
      <c r="A25" s="4" t="s">
        <v>23</v>
      </c>
      <c r="B25">
        <f>I47+I67</f>
        <v>7473</v>
      </c>
      <c r="C25">
        <f>H47+H67</f>
        <v>10692</v>
      </c>
      <c r="D25">
        <f>C25-B25</f>
        <v>3219</v>
      </c>
    </row>
    <row r="26" spans="1:24" ht="15" customHeight="1">
      <c r="A26" s="4" t="s">
        <v>61</v>
      </c>
      <c r="B26" s="2">
        <f>M47+M67</f>
        <v>1058.83</v>
      </c>
      <c r="C26" s="2">
        <f>L47+L67</f>
        <v>1516.08</v>
      </c>
      <c r="D26" s="2">
        <f>C26-B26</f>
        <v>457.25</v>
      </c>
      <c r="E26" s="5" t="s">
        <v>115</v>
      </c>
    </row>
    <row r="27" spans="1:24" ht="15" customHeight="1">
      <c r="A27" s="4"/>
      <c r="B27" s="2"/>
      <c r="C27" s="2"/>
      <c r="D27" s="2"/>
      <c r="E27" s="5"/>
    </row>
    <row r="28" spans="1:24" ht="15" customHeight="1">
      <c r="A28" s="4"/>
      <c r="B28" s="2"/>
      <c r="C28" s="2"/>
      <c r="D28" s="2"/>
      <c r="E28" s="5"/>
    </row>
    <row r="29" spans="1:24" ht="15" customHeight="1">
      <c r="A29" s="135" t="s">
        <v>116</v>
      </c>
      <c r="B29" s="135"/>
      <c r="C29" s="135"/>
      <c r="D29" s="135"/>
      <c r="E29" s="135"/>
      <c r="G29" s="108" t="s">
        <v>217</v>
      </c>
      <c r="H29" s="109" t="s">
        <v>218</v>
      </c>
      <c r="I29" s="9" t="s">
        <v>229</v>
      </c>
      <c r="J29" s="104"/>
      <c r="K29" s="104"/>
      <c r="L29" s="104"/>
      <c r="M29" s="104"/>
      <c r="N29" s="104"/>
    </row>
    <row r="30" spans="1:24" ht="15" customHeight="1">
      <c r="A30" s="4"/>
      <c r="B30" s="2"/>
      <c r="C30" s="2"/>
      <c r="D30" s="2"/>
      <c r="E30" s="5"/>
    </row>
    <row r="31" spans="1:24" ht="15" customHeight="1">
      <c r="A31" s="138">
        <v>2024</v>
      </c>
      <c r="B31" s="2"/>
      <c r="C31" s="2"/>
      <c r="D31" s="2"/>
      <c r="E31" s="5"/>
    </row>
    <row r="32" spans="1:24" ht="15" customHeight="1">
      <c r="A32" s="138"/>
      <c r="B32" s="134" t="str">
        <f>B52</f>
        <v>Xcel Data</v>
      </c>
      <c r="C32" s="134"/>
      <c r="D32" s="134"/>
      <c r="E32" s="134"/>
      <c r="F32" s="134"/>
      <c r="G32" s="121" t="str">
        <f>G52</f>
        <v>PVWatts</v>
      </c>
      <c r="H32" s="134" t="str">
        <f>H52</f>
        <v>Powerwall-Dashboard</v>
      </c>
      <c r="I32" s="134"/>
      <c r="J32" s="134"/>
      <c r="K32" s="10" t="s">
        <v>107</v>
      </c>
      <c r="L32" s="134" t="str">
        <f>L52</f>
        <v>Costs</v>
      </c>
      <c r="M32" s="134"/>
      <c r="N32" s="134"/>
      <c r="O32" s="134"/>
      <c r="P32" s="119" t="str">
        <f>P52</f>
        <v>Peak Daily</v>
      </c>
      <c r="Q32" s="122"/>
      <c r="R32" s="122"/>
    </row>
    <row r="33" spans="1:23" ht="15" customHeight="1">
      <c r="A33" s="72"/>
      <c r="B33" s="72" t="str">
        <f>B53</f>
        <v>Gas</v>
      </c>
      <c r="C33" s="72" t="str">
        <f t="shared" ref="C33:P33" si="0">C53</f>
        <v>Heating</v>
      </c>
      <c r="D33" s="72" t="str">
        <f t="shared" si="0"/>
        <v>Cooling</v>
      </c>
      <c r="E33" s="72" t="str">
        <f t="shared" si="0"/>
        <v>Cents/</v>
      </c>
      <c r="F33" s="72"/>
      <c r="G33" s="72" t="str">
        <f t="shared" si="0"/>
        <v>Predicted</v>
      </c>
      <c r="H33" s="72" t="str">
        <f t="shared" si="0"/>
        <v>Solar</v>
      </c>
      <c r="I33" s="72" t="str">
        <f t="shared" si="0"/>
        <v>Usage</v>
      </c>
      <c r="J33" s="72"/>
      <c r="K33" s="72"/>
      <c r="L33" s="72" t="str">
        <f t="shared" si="0"/>
        <v>Solar</v>
      </c>
      <c r="M33" s="72" t="str">
        <f t="shared" si="0"/>
        <v>Usage</v>
      </c>
      <c r="N33" s="136" t="str">
        <f t="shared" si="0"/>
        <v>Net@NEM of</v>
      </c>
      <c r="O33" s="136"/>
      <c r="P33" s="72" t="str">
        <f t="shared" si="0"/>
        <v>Solar/Usage</v>
      </c>
      <c r="Q33" s="72"/>
      <c r="R33" s="72"/>
    </row>
    <row r="34" spans="1:23" ht="15" customHeight="1">
      <c r="A34" s="40" t="str">
        <f>A54</f>
        <v>Month</v>
      </c>
      <c r="B34" s="40" t="str">
        <f t="shared" ref="B34:Q34" si="1">B54</f>
        <v>Therms</v>
      </c>
      <c r="C34" s="40" t="str">
        <f t="shared" si="1"/>
        <v>Days</v>
      </c>
      <c r="D34" s="40" t="str">
        <f t="shared" si="1"/>
        <v>Days</v>
      </c>
      <c r="E34" s="40" t="str">
        <f t="shared" si="1"/>
        <v>kWh</v>
      </c>
      <c r="F34" s="40" t="str">
        <f t="shared" si="1"/>
        <v>NEM</v>
      </c>
      <c r="G34" s="40" t="str">
        <f t="shared" si="1"/>
        <v>kWh</v>
      </c>
      <c r="H34" s="40" t="str">
        <f t="shared" si="1"/>
        <v>kWh</v>
      </c>
      <c r="I34" s="40" t="str">
        <f t="shared" si="1"/>
        <v>kWh</v>
      </c>
      <c r="J34" s="40" t="s">
        <v>246</v>
      </c>
      <c r="K34" s="40" t="s">
        <v>246</v>
      </c>
      <c r="L34" s="40" t="str">
        <f t="shared" si="1"/>
        <v>kWh</v>
      </c>
      <c r="M34" s="40" t="str">
        <f t="shared" si="1"/>
        <v>kWh</v>
      </c>
      <c r="N34" s="118">
        <f t="shared" si="1"/>
        <v>1</v>
      </c>
      <c r="O34" s="40" t="str">
        <f t="shared" si="1"/>
        <v>Actual</v>
      </c>
      <c r="P34" s="40" t="str">
        <f t="shared" si="1"/>
        <v>kWh</v>
      </c>
      <c r="Q34" s="40" t="str">
        <f t="shared" si="1"/>
        <v>Month</v>
      </c>
      <c r="R34" s="40"/>
    </row>
    <row r="35" spans="1:23" ht="15" customHeight="1">
      <c r="A35" s="1" t="s">
        <v>0</v>
      </c>
      <c r="B35" s="1">
        <v>206</v>
      </c>
      <c r="C35" s="1">
        <v>1160</v>
      </c>
      <c r="D35" s="1">
        <v>0</v>
      </c>
      <c r="E35" s="123">
        <v>13</v>
      </c>
      <c r="F35" s="103">
        <v>1</v>
      </c>
      <c r="G35">
        <f>'Pred Prod'!B14</f>
        <v>444</v>
      </c>
      <c r="H35">
        <v>343</v>
      </c>
      <c r="I35">
        <v>539</v>
      </c>
      <c r="J35">
        <f t="shared" ref="J35:J46" si="2">IF(H35="","",H35-I35)</f>
        <v>-196</v>
      </c>
      <c r="K35">
        <v>-185</v>
      </c>
      <c r="L35" s="2">
        <f>H35*E35/100</f>
        <v>44.59</v>
      </c>
      <c r="M35" s="2">
        <f>I35*E35/100</f>
        <v>70.069999999999993</v>
      </c>
      <c r="N35" s="2">
        <f>L35-M35</f>
        <v>-25.47999999999999</v>
      </c>
      <c r="O35" s="2">
        <f t="shared" ref="O35:O44" si="3">IF(J35="","",IF(J35&lt;0,(J35*E35/100),J35*E35*F35/100))</f>
        <v>-25.48</v>
      </c>
      <c r="P35" s="1" t="s">
        <v>30</v>
      </c>
      <c r="Q35" s="1" t="str">
        <f>A35</f>
        <v>Jan</v>
      </c>
    </row>
    <row r="36" spans="1:23" ht="15" customHeight="1">
      <c r="A36" s="1" t="s">
        <v>117</v>
      </c>
      <c r="B36" s="1">
        <v>87</v>
      </c>
      <c r="C36" s="59">
        <v>757</v>
      </c>
      <c r="D36" s="1">
        <v>0</v>
      </c>
      <c r="E36" s="123">
        <v>13</v>
      </c>
      <c r="F36" s="103">
        <v>1</v>
      </c>
      <c r="G36">
        <f>'Pred Prod'!B15</f>
        <v>553</v>
      </c>
      <c r="H36">
        <v>430</v>
      </c>
      <c r="I36">
        <v>376</v>
      </c>
      <c r="J36">
        <f t="shared" si="2"/>
        <v>54</v>
      </c>
      <c r="K36">
        <v>51</v>
      </c>
      <c r="L36" s="2">
        <f t="shared" ref="L36:L46" si="4">H36*E36/100</f>
        <v>55.9</v>
      </c>
      <c r="M36" s="2">
        <f t="shared" ref="M36:M46" si="5">I36*E36/100</f>
        <v>48.88</v>
      </c>
      <c r="N36" s="2">
        <f t="shared" ref="N36:N46" si="6">L36-M36</f>
        <v>7.019999999999996</v>
      </c>
      <c r="O36" s="2">
        <f t="shared" si="3"/>
        <v>7.02</v>
      </c>
      <c r="P36" s="1" t="s">
        <v>31</v>
      </c>
      <c r="Q36" s="1" t="s">
        <v>117</v>
      </c>
      <c r="S36" t="s">
        <v>120</v>
      </c>
    </row>
    <row r="37" spans="1:23" ht="15" customHeight="1">
      <c r="A37" s="1" t="s">
        <v>118</v>
      </c>
      <c r="B37" s="1">
        <v>72</v>
      </c>
      <c r="C37" s="59">
        <v>683</v>
      </c>
      <c r="D37" s="1">
        <v>0</v>
      </c>
      <c r="E37" s="123">
        <v>13</v>
      </c>
      <c r="F37" s="103">
        <v>1</v>
      </c>
      <c r="G37">
        <f>'Pred Prod'!B16</f>
        <v>797</v>
      </c>
      <c r="H37">
        <v>668</v>
      </c>
      <c r="I37">
        <v>367</v>
      </c>
      <c r="J37">
        <f t="shared" si="2"/>
        <v>301</v>
      </c>
      <c r="K37">
        <v>297</v>
      </c>
      <c r="L37" s="2">
        <f t="shared" si="4"/>
        <v>86.84</v>
      </c>
      <c r="M37" s="2">
        <f t="shared" si="5"/>
        <v>47.71</v>
      </c>
      <c r="N37" s="2">
        <f t="shared" si="6"/>
        <v>39.130000000000003</v>
      </c>
      <c r="O37" s="2">
        <f t="shared" si="3"/>
        <v>39.130000000000003</v>
      </c>
      <c r="P37" s="1" t="s">
        <v>32</v>
      </c>
      <c r="Q37" s="1" t="s">
        <v>118</v>
      </c>
      <c r="S37" t="s">
        <v>148</v>
      </c>
    </row>
    <row r="38" spans="1:23" ht="15" customHeight="1">
      <c r="A38" s="1" t="s">
        <v>3</v>
      </c>
      <c r="B38" s="1">
        <v>33</v>
      </c>
      <c r="C38" s="59">
        <v>405</v>
      </c>
      <c r="D38">
        <v>0</v>
      </c>
      <c r="E38" s="123">
        <v>13</v>
      </c>
      <c r="F38" s="103">
        <v>1</v>
      </c>
      <c r="G38">
        <f>'Pred Prod'!B17</f>
        <v>921</v>
      </c>
      <c r="H38">
        <v>937</v>
      </c>
      <c r="I38">
        <v>353</v>
      </c>
      <c r="J38">
        <f t="shared" si="2"/>
        <v>584</v>
      </c>
      <c r="K38">
        <v>583</v>
      </c>
      <c r="L38" s="2">
        <f t="shared" si="4"/>
        <v>121.81</v>
      </c>
      <c r="M38" s="2">
        <f t="shared" si="5"/>
        <v>45.89</v>
      </c>
      <c r="N38" s="2">
        <f t="shared" si="6"/>
        <v>75.92</v>
      </c>
      <c r="O38" s="2">
        <f t="shared" si="3"/>
        <v>75.92</v>
      </c>
      <c r="P38" s="1" t="s">
        <v>33</v>
      </c>
      <c r="Q38" s="1" t="str">
        <f t="shared" ref="Q38:Q46" si="7">A38</f>
        <v>Apr</v>
      </c>
    </row>
    <row r="39" spans="1:23" ht="15" customHeight="1">
      <c r="A39" s="1" t="s">
        <v>4</v>
      </c>
      <c r="B39" s="1">
        <v>22</v>
      </c>
      <c r="C39" s="1">
        <v>237</v>
      </c>
      <c r="D39">
        <v>3</v>
      </c>
      <c r="E39" s="123">
        <v>13</v>
      </c>
      <c r="F39" s="103">
        <v>1</v>
      </c>
      <c r="G39">
        <f>'Pred Prod'!B18</f>
        <v>1026</v>
      </c>
      <c r="H39">
        <v>1186</v>
      </c>
      <c r="I39">
        <v>401</v>
      </c>
      <c r="J39">
        <f t="shared" si="2"/>
        <v>785</v>
      </c>
      <c r="K39">
        <v>786</v>
      </c>
      <c r="L39" s="2">
        <f t="shared" si="4"/>
        <v>154.18</v>
      </c>
      <c r="M39" s="2">
        <f t="shared" si="5"/>
        <v>52.13</v>
      </c>
      <c r="N39" s="2">
        <f t="shared" si="6"/>
        <v>102.05000000000001</v>
      </c>
      <c r="O39" s="2">
        <f t="shared" si="3"/>
        <v>102.05</v>
      </c>
      <c r="P39" s="1" t="s">
        <v>34</v>
      </c>
      <c r="Q39" s="1" t="str">
        <f t="shared" si="7"/>
        <v>May</v>
      </c>
    </row>
    <row r="40" spans="1:23" ht="15" customHeight="1">
      <c r="A40" s="1" t="s">
        <v>5</v>
      </c>
      <c r="B40" s="1">
        <v>5</v>
      </c>
      <c r="C40" s="1">
        <v>4</v>
      </c>
      <c r="D40">
        <v>251</v>
      </c>
      <c r="E40" s="123">
        <v>16</v>
      </c>
      <c r="F40" s="103">
        <v>1</v>
      </c>
      <c r="G40">
        <f>'Pred Prod'!B19</f>
        <v>1073</v>
      </c>
      <c r="H40">
        <v>1058</v>
      </c>
      <c r="I40">
        <v>709</v>
      </c>
      <c r="J40">
        <f t="shared" si="2"/>
        <v>349</v>
      </c>
      <c r="K40">
        <v>348</v>
      </c>
      <c r="L40" s="2">
        <f t="shared" si="4"/>
        <v>169.28</v>
      </c>
      <c r="M40" s="2">
        <f t="shared" si="5"/>
        <v>113.44</v>
      </c>
      <c r="N40" s="2">
        <f t="shared" si="6"/>
        <v>55.84</v>
      </c>
      <c r="O40" s="2">
        <f t="shared" si="3"/>
        <v>55.84</v>
      </c>
      <c r="P40" s="1" t="s">
        <v>35</v>
      </c>
      <c r="Q40" s="1" t="str">
        <f t="shared" si="7"/>
        <v>Jun</v>
      </c>
    </row>
    <row r="41" spans="1:23" ht="15" customHeight="1">
      <c r="A41" s="1" t="s">
        <v>6</v>
      </c>
      <c r="B41" s="1">
        <v>5</v>
      </c>
      <c r="C41" s="1">
        <v>2</v>
      </c>
      <c r="D41">
        <v>343</v>
      </c>
      <c r="E41" s="123">
        <v>16</v>
      </c>
      <c r="F41" s="103">
        <v>1</v>
      </c>
      <c r="G41">
        <f>'Pred Prod'!B20</f>
        <v>1009</v>
      </c>
      <c r="H41">
        <v>1092</v>
      </c>
      <c r="I41">
        <v>787</v>
      </c>
      <c r="J41">
        <f t="shared" si="2"/>
        <v>305</v>
      </c>
      <c r="K41">
        <v>303</v>
      </c>
      <c r="L41" s="2">
        <f t="shared" si="4"/>
        <v>174.72</v>
      </c>
      <c r="M41" s="2">
        <f t="shared" si="5"/>
        <v>125.92</v>
      </c>
      <c r="N41" s="2">
        <f t="shared" si="6"/>
        <v>48.8</v>
      </c>
      <c r="O41" s="2">
        <f t="shared" si="3"/>
        <v>48.8</v>
      </c>
      <c r="P41" s="1" t="s">
        <v>104</v>
      </c>
      <c r="Q41" s="1" t="str">
        <f t="shared" si="7"/>
        <v>Jul</v>
      </c>
      <c r="T41" s="2"/>
    </row>
    <row r="42" spans="1:23" ht="15" customHeight="1">
      <c r="A42" s="1" t="s">
        <v>7</v>
      </c>
      <c r="B42" s="1">
        <v>7</v>
      </c>
      <c r="C42" s="1">
        <v>2</v>
      </c>
      <c r="D42">
        <v>317</v>
      </c>
      <c r="E42" s="123">
        <v>16</v>
      </c>
      <c r="F42" s="103">
        <v>1</v>
      </c>
      <c r="G42">
        <f>'Pred Prod'!B21</f>
        <v>956</v>
      </c>
      <c r="H42">
        <v>904</v>
      </c>
      <c r="I42">
        <v>794</v>
      </c>
      <c r="J42">
        <f t="shared" si="2"/>
        <v>110</v>
      </c>
      <c r="K42">
        <v>108</v>
      </c>
      <c r="L42" s="2">
        <f t="shared" si="4"/>
        <v>144.63999999999999</v>
      </c>
      <c r="M42" s="2">
        <f t="shared" si="5"/>
        <v>127.04</v>
      </c>
      <c r="N42" s="2">
        <f t="shared" si="6"/>
        <v>17.59999999999998</v>
      </c>
      <c r="O42" s="2">
        <f t="shared" si="3"/>
        <v>17.600000000000001</v>
      </c>
      <c r="P42" s="1" t="s">
        <v>105</v>
      </c>
      <c r="Q42" s="1" t="str">
        <f t="shared" si="7"/>
        <v>Aug</v>
      </c>
    </row>
    <row r="43" spans="1:23" ht="15" customHeight="1">
      <c r="A43" s="1" t="s">
        <v>8</v>
      </c>
      <c r="B43" s="1">
        <v>5</v>
      </c>
      <c r="C43" s="1">
        <v>32</v>
      </c>
      <c r="D43" s="1">
        <v>156</v>
      </c>
      <c r="E43" s="123">
        <v>16</v>
      </c>
      <c r="F43" s="103">
        <v>1</v>
      </c>
      <c r="G43">
        <f>'Pred Prod'!B22</f>
        <v>812</v>
      </c>
      <c r="H43">
        <v>851</v>
      </c>
      <c r="I43">
        <v>500</v>
      </c>
      <c r="J43">
        <f t="shared" si="2"/>
        <v>351</v>
      </c>
      <c r="K43">
        <v>357</v>
      </c>
      <c r="L43" s="2">
        <f t="shared" si="4"/>
        <v>136.16</v>
      </c>
      <c r="M43" s="2">
        <f t="shared" si="5"/>
        <v>80</v>
      </c>
      <c r="N43" s="2">
        <f t="shared" si="6"/>
        <v>56.16</v>
      </c>
      <c r="O43" s="2">
        <f t="shared" si="3"/>
        <v>56.16</v>
      </c>
      <c r="P43" s="1" t="s">
        <v>206</v>
      </c>
      <c r="Q43" s="1" t="str">
        <f t="shared" si="7"/>
        <v>Sep</v>
      </c>
    </row>
    <row r="44" spans="1:23" ht="15" customHeight="1">
      <c r="A44" s="1" t="s">
        <v>9</v>
      </c>
      <c r="B44" s="1">
        <v>15</v>
      </c>
      <c r="C44" s="106">
        <v>257</v>
      </c>
      <c r="D44" s="1">
        <v>7</v>
      </c>
      <c r="E44" s="123">
        <v>13</v>
      </c>
      <c r="F44" s="103">
        <v>1</v>
      </c>
      <c r="G44">
        <f>'Pred Prod'!B23</f>
        <v>620</v>
      </c>
      <c r="H44">
        <v>646</v>
      </c>
      <c r="I44">
        <v>397</v>
      </c>
      <c r="J44">
        <f t="shared" si="2"/>
        <v>249</v>
      </c>
      <c r="K44">
        <v>247</v>
      </c>
      <c r="L44" s="2">
        <f t="shared" si="4"/>
        <v>83.98</v>
      </c>
      <c r="M44" s="2">
        <f t="shared" si="5"/>
        <v>51.61</v>
      </c>
      <c r="N44" s="2">
        <f t="shared" si="6"/>
        <v>32.370000000000005</v>
      </c>
      <c r="O44" s="2">
        <f t="shared" si="3"/>
        <v>32.369999999999997</v>
      </c>
      <c r="P44" s="1" t="s">
        <v>245</v>
      </c>
      <c r="Q44" s="1" t="str">
        <f t="shared" si="7"/>
        <v>Oct</v>
      </c>
    </row>
    <row r="45" spans="1:23" ht="15" customHeight="1">
      <c r="A45" s="1" t="s">
        <v>10</v>
      </c>
      <c r="B45" s="1"/>
      <c r="C45" s="1">
        <v>880</v>
      </c>
      <c r="D45" s="1">
        <v>0</v>
      </c>
      <c r="E45" s="123">
        <v>13</v>
      </c>
      <c r="F45" s="103">
        <v>1</v>
      </c>
      <c r="G45">
        <f>'Pred Prod'!B24</f>
        <v>490</v>
      </c>
      <c r="H45">
        <v>345</v>
      </c>
      <c r="I45">
        <v>459</v>
      </c>
      <c r="J45">
        <f t="shared" si="2"/>
        <v>-114</v>
      </c>
      <c r="K45">
        <v>-116</v>
      </c>
      <c r="L45" s="2">
        <f t="shared" si="4"/>
        <v>44.85</v>
      </c>
      <c r="M45" s="2">
        <f t="shared" si="5"/>
        <v>59.67</v>
      </c>
      <c r="N45" s="2">
        <f t="shared" si="6"/>
        <v>-14.82</v>
      </c>
      <c r="O45" s="2">
        <f>IF(J45="","",IF(J45&lt;0,(J45*E45/100),J45*E45*F45/100))</f>
        <v>-14.82</v>
      </c>
      <c r="Q45" s="1" t="str">
        <f t="shared" si="7"/>
        <v>Nov</v>
      </c>
      <c r="W45" t="str">
        <f>IF(ISBLANK(U45),"",U45-V45)</f>
        <v/>
      </c>
    </row>
    <row r="46" spans="1:23" ht="15" customHeight="1">
      <c r="A46" s="13" t="s">
        <v>11</v>
      </c>
      <c r="B46" s="13"/>
      <c r="C46" s="13"/>
      <c r="D46" s="13"/>
      <c r="E46" s="124">
        <v>13</v>
      </c>
      <c r="F46" s="125">
        <v>1</v>
      </c>
      <c r="G46" s="14">
        <f>'Pred Prod'!B25</f>
        <v>416</v>
      </c>
      <c r="H46" s="13"/>
      <c r="I46" s="14"/>
      <c r="J46" s="14" t="str">
        <f t="shared" si="2"/>
        <v/>
      </c>
      <c r="K46" s="14"/>
      <c r="L46" s="117">
        <f t="shared" si="4"/>
        <v>0</v>
      </c>
      <c r="M46" s="117">
        <f t="shared" si="5"/>
        <v>0</v>
      </c>
      <c r="N46" s="117">
        <f t="shared" si="6"/>
        <v>0</v>
      </c>
      <c r="O46" s="117" t="str">
        <f>IF(J46="","",IF(J46&lt;0,(J46*E46/100),J46*E46*F46/100))</f>
        <v/>
      </c>
      <c r="P46" s="14"/>
      <c r="Q46" s="13" t="str">
        <f t="shared" si="7"/>
        <v>Dec</v>
      </c>
    </row>
    <row r="47" spans="1:23" ht="15" customHeight="1">
      <c r="A47" s="4" t="str">
        <f>A67</f>
        <v>ANNUAL</v>
      </c>
      <c r="B47" s="54">
        <f>SUM(B35:B46)</f>
        <v>457</v>
      </c>
      <c r="C47" s="54">
        <f>SUM(C35:C46)</f>
        <v>4419</v>
      </c>
      <c r="D47" s="54">
        <f>SUM(D35:D46)</f>
        <v>1077</v>
      </c>
      <c r="E47" s="123">
        <f>100*M47/I47</f>
        <v>14.473072861668427</v>
      </c>
      <c r="F47" s="103">
        <v>1</v>
      </c>
      <c r="G47">
        <f>'Pred Prod'!B26</f>
        <v>9117</v>
      </c>
      <c r="H47">
        <f>SUM(H35:H46)</f>
        <v>8460</v>
      </c>
      <c r="I47">
        <f>SUM(I35:I46)</f>
        <v>5682</v>
      </c>
      <c r="J47">
        <f>SUM(J35:J46)</f>
        <v>2778</v>
      </c>
      <c r="K47">
        <f t="shared" ref="K47:O47" si="8">SUM(K35:K46)</f>
        <v>2779</v>
      </c>
      <c r="L47" s="2">
        <f t="shared" si="8"/>
        <v>1216.95</v>
      </c>
      <c r="M47" s="2">
        <f t="shared" si="8"/>
        <v>822.36</v>
      </c>
      <c r="N47" s="2">
        <f t="shared" si="8"/>
        <v>394.59</v>
      </c>
      <c r="O47" s="2">
        <f t="shared" si="8"/>
        <v>394.59</v>
      </c>
      <c r="P47" s="1" t="s">
        <v>239</v>
      </c>
      <c r="Q47" s="4" t="str">
        <f>A67</f>
        <v>ANNUAL</v>
      </c>
    </row>
    <row r="48" spans="1:23" ht="15" customHeight="1">
      <c r="A48" s="4"/>
      <c r="B48" s="2"/>
      <c r="C48" s="2"/>
      <c r="D48" s="2"/>
      <c r="E48" s="54" t="str">
        <f>E68</f>
        <v>Average</v>
      </c>
      <c r="G48">
        <f>'Pred Prod'!B28</f>
        <v>8971</v>
      </c>
      <c r="H48" s="50" t="str">
        <f>H68</f>
        <v>Tesla Annual Predicted</v>
      </c>
    </row>
    <row r="49" spans="1:37" ht="15" customHeight="1">
      <c r="A49" s="4"/>
      <c r="B49" s="2"/>
      <c r="C49" s="2"/>
      <c r="D49" s="2"/>
      <c r="E49" s="5"/>
      <c r="H49" s="50"/>
    </row>
    <row r="50" spans="1:37" ht="15" customHeight="1">
      <c r="B50" s="2"/>
      <c r="C50" s="2"/>
      <c r="D50" s="2"/>
      <c r="E50" s="5"/>
    </row>
    <row r="51" spans="1:37" ht="15" customHeight="1">
      <c r="A51" s="137">
        <v>2023</v>
      </c>
      <c r="B51" s="113"/>
      <c r="C51" s="113"/>
      <c r="D51" s="113"/>
      <c r="E51" s="113"/>
      <c r="F51" s="113"/>
      <c r="G51" s="113"/>
      <c r="H51" s="113"/>
      <c r="I51" s="110"/>
      <c r="J51" s="110"/>
      <c r="K51" s="110"/>
      <c r="M51" s="113"/>
      <c r="N51" s="113"/>
      <c r="O51" s="113"/>
      <c r="P51" s="113"/>
      <c r="Q51" s="113"/>
      <c r="R51" s="113"/>
      <c r="S51" s="113"/>
      <c r="T51" s="113"/>
      <c r="V51" s="134"/>
      <c r="W51" s="134"/>
      <c r="X51" s="134"/>
      <c r="Y51" s="134"/>
      <c r="Z51" s="134"/>
      <c r="AA51" s="134"/>
      <c r="AB51" s="134"/>
      <c r="AC51" s="134"/>
    </row>
    <row r="52" spans="1:37" ht="15" customHeight="1">
      <c r="A52" s="137"/>
      <c r="B52" s="134" t="s">
        <v>113</v>
      </c>
      <c r="C52" s="134"/>
      <c r="D52" s="134"/>
      <c r="E52" s="134"/>
      <c r="F52" s="134"/>
      <c r="G52" s="111" t="s">
        <v>220</v>
      </c>
      <c r="H52" s="134" t="s">
        <v>232</v>
      </c>
      <c r="I52" s="134"/>
      <c r="J52" s="134"/>
      <c r="K52" s="10" t="s">
        <v>107</v>
      </c>
      <c r="L52" s="134" t="s">
        <v>225</v>
      </c>
      <c r="M52" s="134"/>
      <c r="N52" s="134"/>
      <c r="O52" s="134"/>
      <c r="P52" s="119" t="s">
        <v>228</v>
      </c>
      <c r="Q52" s="112"/>
      <c r="R52" s="112"/>
      <c r="S52" s="133"/>
      <c r="T52" s="133"/>
      <c r="U52" s="133"/>
      <c r="V52" s="51"/>
      <c r="W52" s="11"/>
      <c r="Y52" s="133"/>
      <c r="Z52" s="133"/>
      <c r="AA52" s="133"/>
      <c r="AB52" s="133"/>
      <c r="AC52" s="133"/>
      <c r="AD52" s="133"/>
      <c r="AE52" s="51"/>
      <c r="AF52" s="11"/>
    </row>
    <row r="53" spans="1:37" ht="15" customHeight="1">
      <c r="A53" s="72"/>
      <c r="B53" s="72" t="s">
        <v>221</v>
      </c>
      <c r="C53" s="72" t="s">
        <v>111</v>
      </c>
      <c r="D53" s="72" t="s">
        <v>110</v>
      </c>
      <c r="E53" s="72" t="s">
        <v>223</v>
      </c>
      <c r="F53" s="72"/>
      <c r="G53" s="72" t="s">
        <v>82</v>
      </c>
      <c r="H53" s="72" t="s">
        <v>14</v>
      </c>
      <c r="I53" s="72" t="s">
        <v>20</v>
      </c>
      <c r="J53" s="72"/>
      <c r="K53" s="72"/>
      <c r="L53" s="72" t="s">
        <v>14</v>
      </c>
      <c r="M53" s="72" t="s">
        <v>20</v>
      </c>
      <c r="N53" s="136" t="s">
        <v>247</v>
      </c>
      <c r="O53" s="136"/>
      <c r="P53" s="72" t="s">
        <v>226</v>
      </c>
      <c r="Q53" s="72"/>
      <c r="R53" s="72"/>
      <c r="S53" s="72"/>
      <c r="T53" s="72"/>
      <c r="U53" s="72"/>
      <c r="V53" s="72"/>
      <c r="W53" s="72"/>
      <c r="X53" s="72"/>
      <c r="Y53" s="72"/>
      <c r="Z53" s="72"/>
      <c r="AA53" s="72"/>
      <c r="AB53" s="72"/>
      <c r="AC53" s="72"/>
      <c r="AD53" s="72"/>
      <c r="AE53" s="72"/>
      <c r="AF53" s="72"/>
      <c r="AG53" s="72"/>
      <c r="AH53" s="72"/>
      <c r="AI53" s="72"/>
      <c r="AJ53" s="72"/>
      <c r="AK53" s="72"/>
    </row>
    <row r="54" spans="1:37" ht="15" customHeight="1">
      <c r="A54" s="40" t="s">
        <v>12</v>
      </c>
      <c r="B54" s="40" t="s">
        <v>112</v>
      </c>
      <c r="C54" s="40" t="s">
        <v>222</v>
      </c>
      <c r="D54" s="40" t="s">
        <v>222</v>
      </c>
      <c r="E54" s="40" t="s">
        <v>23</v>
      </c>
      <c r="F54" s="40" t="s">
        <v>224</v>
      </c>
      <c r="G54" s="40" t="s">
        <v>23</v>
      </c>
      <c r="H54" s="40" t="s">
        <v>23</v>
      </c>
      <c r="I54" s="40" t="s">
        <v>23</v>
      </c>
      <c r="J54" s="40" t="s">
        <v>246</v>
      </c>
      <c r="K54" s="40" t="s">
        <v>246</v>
      </c>
      <c r="L54" s="40" t="s">
        <v>23</v>
      </c>
      <c r="M54" s="40" t="s">
        <v>23</v>
      </c>
      <c r="N54" s="118">
        <v>1</v>
      </c>
      <c r="O54" s="40" t="s">
        <v>68</v>
      </c>
      <c r="P54" s="40" t="s">
        <v>23</v>
      </c>
      <c r="Q54" s="40" t="s">
        <v>12</v>
      </c>
      <c r="R54" s="40"/>
      <c r="S54" s="40"/>
      <c r="U54" s="3"/>
      <c r="V54" s="3"/>
      <c r="W54" s="3"/>
      <c r="X54" s="3"/>
      <c r="Y54" s="3"/>
      <c r="Z54" s="3"/>
      <c r="AA54" s="3"/>
      <c r="AB54" s="3"/>
      <c r="AD54" s="3"/>
      <c r="AE54" s="3"/>
      <c r="AF54" s="3"/>
      <c r="AG54" s="3"/>
      <c r="AH54" s="3"/>
      <c r="AI54" s="3"/>
      <c r="AJ54" s="3"/>
      <c r="AK54" s="3"/>
    </row>
    <row r="55" spans="1:37" ht="15" customHeight="1">
      <c r="A55" s="1" t="s">
        <v>0</v>
      </c>
      <c r="B55" s="1"/>
      <c r="C55" s="1"/>
      <c r="D55" s="1"/>
      <c r="E55" s="114"/>
      <c r="F55" s="101"/>
      <c r="G55" s="41">
        <f>'Pred Prod'!B14</f>
        <v>444</v>
      </c>
      <c r="L55" s="2"/>
      <c r="M55" s="2"/>
      <c r="N55" s="2"/>
      <c r="O55" s="2"/>
      <c r="Q55" s="1" t="str">
        <f>A55</f>
        <v>Jan</v>
      </c>
      <c r="AC55" s="1"/>
    </row>
    <row r="56" spans="1:37" ht="15" customHeight="1">
      <c r="A56" s="1" t="s">
        <v>1</v>
      </c>
      <c r="B56" s="1"/>
      <c r="C56" s="1"/>
      <c r="D56" s="1"/>
      <c r="E56" s="114"/>
      <c r="F56" s="101"/>
      <c r="G56" s="41">
        <f>'Pred Prod'!B15</f>
        <v>553</v>
      </c>
      <c r="L56" s="2"/>
      <c r="M56" s="2"/>
      <c r="N56" s="2"/>
      <c r="O56" s="2"/>
      <c r="Q56" s="1" t="str">
        <f t="shared" ref="Q56:Q66" si="9">A56</f>
        <v>Feb</v>
      </c>
      <c r="AC56" s="1"/>
    </row>
    <row r="57" spans="1:37" ht="15" customHeight="1">
      <c r="A57" s="1" t="s">
        <v>2</v>
      </c>
      <c r="B57" s="1"/>
      <c r="C57" s="1"/>
      <c r="D57" s="1"/>
      <c r="E57" s="114"/>
      <c r="F57" s="101"/>
      <c r="G57" s="41">
        <f>'Pred Prod'!B16</f>
        <v>797</v>
      </c>
      <c r="L57" s="2"/>
      <c r="M57" s="2"/>
      <c r="N57" s="2"/>
      <c r="O57" s="2"/>
      <c r="Q57" s="1" t="str">
        <f t="shared" si="9"/>
        <v>Mar</v>
      </c>
      <c r="AC57" s="1"/>
    </row>
    <row r="58" spans="1:37" ht="15" customHeight="1">
      <c r="A58" s="1" t="s">
        <v>3</v>
      </c>
      <c r="B58" s="1"/>
      <c r="C58" s="1"/>
      <c r="D58" s="1"/>
      <c r="E58" s="114"/>
      <c r="F58" s="101"/>
      <c r="G58" s="41">
        <f>'Pred Prod'!B17</f>
        <v>921</v>
      </c>
      <c r="L58" s="2"/>
      <c r="M58" s="2"/>
      <c r="N58" s="2"/>
      <c r="O58" s="2"/>
      <c r="Q58" s="1" t="str">
        <f t="shared" si="9"/>
        <v>Apr</v>
      </c>
      <c r="AC58" s="1"/>
    </row>
    <row r="59" spans="1:37" ht="15" customHeight="1">
      <c r="A59" s="1" t="s">
        <v>4</v>
      </c>
      <c r="B59" s="1"/>
      <c r="C59" s="1"/>
      <c r="D59" s="1"/>
      <c r="E59" s="114"/>
      <c r="F59" s="101"/>
      <c r="G59" s="41">
        <f>'Pred Prod'!B18</f>
        <v>1026</v>
      </c>
      <c r="L59" s="2"/>
      <c r="M59" s="2"/>
      <c r="N59" s="2"/>
      <c r="O59" s="2"/>
      <c r="Q59" s="1" t="str">
        <f t="shared" si="9"/>
        <v>May</v>
      </c>
      <c r="AC59" s="1"/>
    </row>
    <row r="60" spans="1:37" ht="15" customHeight="1">
      <c r="A60" s="1" t="s">
        <v>5</v>
      </c>
      <c r="B60" s="1"/>
      <c r="C60" s="1"/>
      <c r="D60" s="1"/>
      <c r="E60" s="114"/>
      <c r="F60" s="101"/>
      <c r="G60" s="41">
        <f>'Pred Prod'!B19</f>
        <v>1073</v>
      </c>
      <c r="L60" s="2"/>
      <c r="M60" s="2"/>
      <c r="N60" s="2"/>
      <c r="O60" s="2"/>
      <c r="Q60" s="1" t="str">
        <f t="shared" si="9"/>
        <v>Jun</v>
      </c>
      <c r="AC60" s="1"/>
    </row>
    <row r="61" spans="1:37" ht="15" customHeight="1">
      <c r="A61" s="1" t="s">
        <v>6</v>
      </c>
      <c r="B61" s="1"/>
      <c r="C61" s="1"/>
      <c r="D61" s="1"/>
      <c r="E61" s="114"/>
      <c r="F61" s="101"/>
      <c r="G61" s="41">
        <f>'Pred Prod'!B20</f>
        <v>1009</v>
      </c>
      <c r="L61" s="2"/>
      <c r="M61" s="2"/>
      <c r="N61" s="2"/>
      <c r="O61" s="2"/>
      <c r="Q61" s="1" t="str">
        <f t="shared" si="9"/>
        <v>Jul</v>
      </c>
      <c r="AC61" s="1"/>
    </row>
    <row r="62" spans="1:37" ht="15" customHeight="1">
      <c r="A62" s="1" t="s">
        <v>7</v>
      </c>
      <c r="B62" s="1"/>
      <c r="C62" s="1"/>
      <c r="D62" s="1"/>
      <c r="E62" s="114"/>
      <c r="F62" s="101"/>
      <c r="G62" s="41">
        <f>'Pred Prod'!B21</f>
        <v>956</v>
      </c>
      <c r="L62" s="2"/>
      <c r="M62" s="2"/>
      <c r="N62" s="2"/>
      <c r="O62" s="2"/>
      <c r="Q62" s="1" t="str">
        <f t="shared" si="9"/>
        <v>Aug</v>
      </c>
      <c r="AC62" s="1"/>
    </row>
    <row r="63" spans="1:37" ht="15" customHeight="1">
      <c r="A63" s="1" t="s">
        <v>8</v>
      </c>
      <c r="B63" s="1">
        <v>9</v>
      </c>
      <c r="C63" s="1">
        <v>22</v>
      </c>
      <c r="D63" s="106">
        <v>106</v>
      </c>
      <c r="E63" s="114">
        <v>14</v>
      </c>
      <c r="F63" s="101">
        <v>1</v>
      </c>
      <c r="G63" s="41">
        <f>'Pred Prod'!B22</f>
        <v>812</v>
      </c>
      <c r="H63">
        <v>897</v>
      </c>
      <c r="I63">
        <v>364</v>
      </c>
      <c r="J63">
        <f>H63-I63</f>
        <v>533</v>
      </c>
      <c r="K63">
        <v>505</v>
      </c>
      <c r="L63" s="2">
        <f>H63*E63/100</f>
        <v>125.58</v>
      </c>
      <c r="M63" s="2">
        <f>I63*E63/100</f>
        <v>50.96</v>
      </c>
      <c r="N63" s="2">
        <f>L63-M63</f>
        <v>74.62</v>
      </c>
      <c r="O63" s="2">
        <f t="shared" ref="O63:O65" si="10">IF(J63&lt;0,(J63*E63/100),J63*E63*F63/100)</f>
        <v>74.62</v>
      </c>
      <c r="P63" s="1" t="s">
        <v>26</v>
      </c>
      <c r="Q63" s="1" t="str">
        <f t="shared" si="9"/>
        <v>Sep</v>
      </c>
      <c r="R63" s="1"/>
      <c r="S63" s="1"/>
      <c r="AC63" s="1"/>
    </row>
    <row r="64" spans="1:37" ht="15" customHeight="1">
      <c r="A64" s="1" t="s">
        <v>9</v>
      </c>
      <c r="B64" s="1">
        <v>38</v>
      </c>
      <c r="C64" s="1">
        <v>393</v>
      </c>
      <c r="D64" s="1">
        <v>6</v>
      </c>
      <c r="E64" s="114">
        <v>13</v>
      </c>
      <c r="F64" s="101">
        <v>1</v>
      </c>
      <c r="G64" s="41">
        <f>'Pred Prod'!B23</f>
        <v>620</v>
      </c>
      <c r="H64">
        <v>619</v>
      </c>
      <c r="I64">
        <v>392</v>
      </c>
      <c r="J64">
        <f>H64-I64</f>
        <v>227</v>
      </c>
      <c r="K64">
        <v>225</v>
      </c>
      <c r="L64" s="2">
        <f>H64*E64/100</f>
        <v>80.47</v>
      </c>
      <c r="M64" s="2">
        <f>I64*E64/100</f>
        <v>50.96</v>
      </c>
      <c r="N64" s="2">
        <f>L64-M64</f>
        <v>29.509999999999998</v>
      </c>
      <c r="O64" s="2">
        <f t="shared" si="10"/>
        <v>29.51</v>
      </c>
      <c r="P64" s="1" t="s">
        <v>27</v>
      </c>
      <c r="Q64" s="1" t="str">
        <f t="shared" si="9"/>
        <v>Oct</v>
      </c>
      <c r="R64" s="1"/>
      <c r="S64" s="1"/>
      <c r="AB64" s="1"/>
      <c r="AC64" s="1"/>
    </row>
    <row r="65" spans="1:37" ht="15" customHeight="1">
      <c r="A65" s="1" t="s">
        <v>10</v>
      </c>
      <c r="B65" s="1">
        <v>117</v>
      </c>
      <c r="C65" s="1">
        <v>720</v>
      </c>
      <c r="D65" s="1">
        <v>0</v>
      </c>
      <c r="E65" s="114">
        <v>13</v>
      </c>
      <c r="F65" s="101">
        <v>1</v>
      </c>
      <c r="G65" s="41">
        <f>'Pred Prod'!B24</f>
        <v>490</v>
      </c>
      <c r="H65">
        <v>389</v>
      </c>
      <c r="I65">
        <v>419</v>
      </c>
      <c r="J65">
        <f>H65-I65</f>
        <v>-30</v>
      </c>
      <c r="K65">
        <v>-32</v>
      </c>
      <c r="L65" s="2">
        <f>H65*E65/100</f>
        <v>50.57</v>
      </c>
      <c r="M65" s="2">
        <f>I65*E65/100</f>
        <v>54.47</v>
      </c>
      <c r="N65" s="2">
        <f>L65-M65</f>
        <v>-3.8999999999999986</v>
      </c>
      <c r="O65" s="2">
        <f t="shared" si="10"/>
        <v>-3.9</v>
      </c>
      <c r="P65" s="1" t="s">
        <v>28</v>
      </c>
      <c r="Q65" s="1" t="str">
        <f t="shared" si="9"/>
        <v>Nov</v>
      </c>
      <c r="R65" s="1"/>
      <c r="S65" s="1"/>
      <c r="AB65" s="1"/>
      <c r="AC65" s="1"/>
    </row>
    <row r="66" spans="1:37" ht="15" customHeight="1">
      <c r="A66" s="13" t="s">
        <v>11</v>
      </c>
      <c r="B66" s="13">
        <v>162</v>
      </c>
      <c r="C66" s="13">
        <v>893</v>
      </c>
      <c r="D66" s="13">
        <v>0</v>
      </c>
      <c r="E66" s="115">
        <v>13</v>
      </c>
      <c r="F66" s="116">
        <v>1</v>
      </c>
      <c r="G66" s="42">
        <f>'Pred Prod'!B25</f>
        <v>416</v>
      </c>
      <c r="H66" s="14">
        <v>327</v>
      </c>
      <c r="I66" s="14">
        <v>616</v>
      </c>
      <c r="J66" s="14">
        <f>H66-I66</f>
        <v>-289</v>
      </c>
      <c r="K66" s="14">
        <v>-294</v>
      </c>
      <c r="L66" s="117">
        <f>H66*E66/100</f>
        <v>42.51</v>
      </c>
      <c r="M66" s="117">
        <f>I66*E66/100</f>
        <v>80.08</v>
      </c>
      <c r="N66" s="117">
        <f>L66-M66</f>
        <v>-37.57</v>
      </c>
      <c r="O66" s="117">
        <f>IF(J66&lt;0,(J66*E66/100),J66*E66*F66/100)</f>
        <v>-37.57</v>
      </c>
      <c r="P66" s="13" t="s">
        <v>29</v>
      </c>
      <c r="Q66" s="13" t="str">
        <f t="shared" si="9"/>
        <v>Dec</v>
      </c>
      <c r="R66" s="120"/>
      <c r="S66" s="120"/>
      <c r="Z66" s="126"/>
      <c r="AA66" s="126"/>
      <c r="AB66" s="120"/>
      <c r="AC66" s="120"/>
      <c r="AD66" s="120"/>
      <c r="AE66" s="120"/>
      <c r="AF66" s="120"/>
      <c r="AG66" s="120"/>
      <c r="AH66" s="120"/>
      <c r="AI66" s="120"/>
      <c r="AJ66" s="120"/>
      <c r="AK66" s="120"/>
    </row>
    <row r="67" spans="1:37" ht="15" customHeight="1">
      <c r="A67" s="4" t="s">
        <v>114</v>
      </c>
      <c r="B67" s="54"/>
      <c r="C67" s="54"/>
      <c r="D67" s="4"/>
      <c r="E67" s="70">
        <f>100*(( (0.13*(R75+R76+R77+R78+R79)) + (0.14*(R80+R81+R82+R83)) + (0.13*(R84+R85+R86)))/R87)</f>
        <v>13.376923076923077</v>
      </c>
      <c r="F67" s="68">
        <v>1</v>
      </c>
      <c r="G67" s="41">
        <f>'Pred Prod'!B26</f>
        <v>9117</v>
      </c>
      <c r="H67">
        <f>SUM(H55:H66)</f>
        <v>2232</v>
      </c>
      <c r="I67">
        <f>SUM(I55:I66)</f>
        <v>1791</v>
      </c>
      <c r="J67">
        <f>H67-I67</f>
        <v>441</v>
      </c>
      <c r="K67">
        <f>SUM(K55:K66)</f>
        <v>404</v>
      </c>
      <c r="L67" s="2">
        <f>SUM(L55:L66)</f>
        <v>299.13</v>
      </c>
      <c r="M67" s="2">
        <f>SUM(M55:M66)</f>
        <v>236.46999999999997</v>
      </c>
      <c r="N67" s="2">
        <f>SUM(N55:N66)</f>
        <v>62.659999999999989</v>
      </c>
      <c r="O67" s="2">
        <f>SUM(O55:O66)</f>
        <v>62.660000000000004</v>
      </c>
      <c r="P67" s="26" t="s">
        <v>227</v>
      </c>
      <c r="Q67" s="4" t="str">
        <f>A67</f>
        <v>ANNUAL</v>
      </c>
      <c r="R67" s="26"/>
      <c r="S67" s="26"/>
      <c r="AB67" s="1"/>
      <c r="AC67" s="4"/>
    </row>
    <row r="68" spans="1:37" ht="15" customHeight="1">
      <c r="E68" s="1" t="s">
        <v>230</v>
      </c>
      <c r="G68" s="41">
        <f>'Pred Prod'!B28</f>
        <v>8971</v>
      </c>
      <c r="H68" s="50" t="s">
        <v>106</v>
      </c>
      <c r="J68" s="50"/>
      <c r="K68" s="50"/>
    </row>
    <row r="69" spans="1:37" ht="15" customHeight="1">
      <c r="G69" s="41"/>
      <c r="H69" s="50"/>
      <c r="K69" s="50"/>
      <c r="L69" s="50"/>
      <c r="M69" s="50"/>
    </row>
    <row r="70" spans="1:37" ht="15" customHeight="1">
      <c r="A70" s="4"/>
      <c r="B70" s="2"/>
      <c r="C70" s="2"/>
      <c r="D70" s="2"/>
      <c r="E70" s="5"/>
      <c r="F70" s="103"/>
      <c r="G70" s="2"/>
      <c r="M70" s="103"/>
      <c r="N70" s="2"/>
    </row>
    <row r="71" spans="1:37" ht="15" customHeight="1">
      <c r="F71" s="17"/>
      <c r="H71" s="1"/>
      <c r="I71" s="1"/>
      <c r="M71" s="25"/>
      <c r="O71" s="1"/>
      <c r="P71" s="1"/>
    </row>
    <row r="72" spans="1:37" ht="15" customHeight="1">
      <c r="A72" s="52" t="s">
        <v>257</v>
      </c>
      <c r="F72" s="17"/>
      <c r="H72" s="1"/>
      <c r="I72" s="1"/>
      <c r="M72" s="25"/>
      <c r="O72" s="1"/>
      <c r="P72" s="1"/>
    </row>
    <row r="73" spans="1:37" ht="15" customHeight="1">
      <c r="B73" s="133">
        <v>2021</v>
      </c>
      <c r="C73" s="133"/>
      <c r="D73" s="133"/>
      <c r="E73" s="133"/>
      <c r="F73" s="133"/>
      <c r="H73" s="133">
        <v>2022</v>
      </c>
      <c r="I73" s="133"/>
      <c r="J73" s="133"/>
      <c r="K73" s="133"/>
      <c r="L73" s="133"/>
      <c r="N73" s="133">
        <v>2023</v>
      </c>
      <c r="O73" s="133"/>
      <c r="P73" s="133"/>
      <c r="Q73" s="133"/>
      <c r="R73" s="133"/>
      <c r="U73" s="133" t="s">
        <v>119</v>
      </c>
      <c r="V73" s="133"/>
      <c r="W73" s="133"/>
      <c r="X73" s="133"/>
      <c r="Y73" s="133"/>
    </row>
    <row r="74" spans="1:37" ht="15" customHeight="1">
      <c r="C74" s="48" t="s">
        <v>112</v>
      </c>
      <c r="D74" s="3" t="s">
        <v>111</v>
      </c>
      <c r="E74" s="3" t="s">
        <v>110</v>
      </c>
      <c r="F74" s="3" t="s">
        <v>23</v>
      </c>
      <c r="I74" s="48" t="s">
        <v>112</v>
      </c>
      <c r="J74" s="3" t="s">
        <v>111</v>
      </c>
      <c r="K74" s="3" t="s">
        <v>110</v>
      </c>
      <c r="L74" s="3" t="s">
        <v>20</v>
      </c>
      <c r="O74" s="3" t="s">
        <v>112</v>
      </c>
      <c r="P74" s="3" t="s">
        <v>111</v>
      </c>
      <c r="Q74" s="3" t="s">
        <v>110</v>
      </c>
      <c r="R74" s="3" t="s">
        <v>20</v>
      </c>
      <c r="V74" s="48" t="s">
        <v>112</v>
      </c>
      <c r="W74" s="3" t="s">
        <v>111</v>
      </c>
      <c r="X74" s="3" t="s">
        <v>110</v>
      </c>
      <c r="Y74" s="3" t="s">
        <v>20</v>
      </c>
    </row>
    <row r="75" spans="1:37" ht="15" customHeight="1">
      <c r="B75" s="1" t="s">
        <v>0</v>
      </c>
      <c r="C75">
        <v>184</v>
      </c>
      <c r="D75">
        <v>1034</v>
      </c>
      <c r="E75">
        <v>0</v>
      </c>
      <c r="F75">
        <v>635</v>
      </c>
      <c r="H75" s="1" t="s">
        <v>0</v>
      </c>
      <c r="I75">
        <v>166</v>
      </c>
      <c r="J75" s="1">
        <v>1197</v>
      </c>
      <c r="K75">
        <v>0</v>
      </c>
      <c r="L75">
        <v>505</v>
      </c>
      <c r="N75" s="1" t="s">
        <v>0</v>
      </c>
      <c r="O75">
        <v>188</v>
      </c>
      <c r="P75" s="105">
        <v>1297</v>
      </c>
      <c r="Q75">
        <v>0</v>
      </c>
      <c r="R75">
        <v>495</v>
      </c>
      <c r="U75" s="1" t="s">
        <v>0</v>
      </c>
    </row>
    <row r="76" spans="1:37" ht="15" customHeight="1">
      <c r="B76" s="1" t="s">
        <v>1</v>
      </c>
      <c r="C76">
        <v>221</v>
      </c>
      <c r="D76">
        <v>1086</v>
      </c>
      <c r="E76">
        <v>0</v>
      </c>
      <c r="F76">
        <v>566</v>
      </c>
      <c r="H76" s="1" t="s">
        <v>1</v>
      </c>
      <c r="I76">
        <v>161</v>
      </c>
      <c r="J76" s="1">
        <v>1104</v>
      </c>
      <c r="K76">
        <v>0</v>
      </c>
      <c r="L76">
        <v>516</v>
      </c>
      <c r="N76" s="1" t="s">
        <v>1</v>
      </c>
      <c r="O76">
        <v>160</v>
      </c>
      <c r="P76">
        <v>1060</v>
      </c>
      <c r="Q76">
        <v>0</v>
      </c>
      <c r="R76">
        <v>444</v>
      </c>
      <c r="U76" s="1" t="s">
        <v>1</v>
      </c>
    </row>
    <row r="77" spans="1:37" ht="15" customHeight="1">
      <c r="B77" s="1" t="s">
        <v>2</v>
      </c>
      <c r="C77">
        <v>121</v>
      </c>
      <c r="D77">
        <v>848</v>
      </c>
      <c r="E77">
        <v>0</v>
      </c>
      <c r="F77">
        <v>549</v>
      </c>
      <c r="H77" s="1" t="s">
        <v>2</v>
      </c>
      <c r="I77">
        <v>113</v>
      </c>
      <c r="J77" s="1">
        <v>809</v>
      </c>
      <c r="K77">
        <v>0</v>
      </c>
      <c r="L77">
        <v>433</v>
      </c>
      <c r="N77" s="1" t="s">
        <v>2</v>
      </c>
      <c r="O77">
        <v>113</v>
      </c>
      <c r="P77">
        <v>861</v>
      </c>
      <c r="Q77">
        <v>0</v>
      </c>
      <c r="R77">
        <v>411</v>
      </c>
      <c r="U77" s="1" t="s">
        <v>2</v>
      </c>
    </row>
    <row r="78" spans="1:37" ht="15" customHeight="1">
      <c r="B78" s="1" t="s">
        <v>3</v>
      </c>
      <c r="C78">
        <v>83</v>
      </c>
      <c r="D78">
        <v>608</v>
      </c>
      <c r="E78">
        <v>0</v>
      </c>
      <c r="F78">
        <v>482</v>
      </c>
      <c r="H78" s="1" t="s">
        <v>3</v>
      </c>
      <c r="I78">
        <v>48</v>
      </c>
      <c r="J78" s="1">
        <v>451</v>
      </c>
      <c r="K78">
        <v>0</v>
      </c>
      <c r="L78">
        <v>347</v>
      </c>
      <c r="N78" s="1" t="s">
        <v>3</v>
      </c>
      <c r="O78">
        <v>44</v>
      </c>
      <c r="P78">
        <v>547</v>
      </c>
      <c r="Q78">
        <v>0</v>
      </c>
      <c r="R78">
        <v>356</v>
      </c>
      <c r="U78" s="1" t="s">
        <v>3</v>
      </c>
    </row>
    <row r="79" spans="1:37" ht="15" customHeight="1">
      <c r="B79" s="1" t="s">
        <v>4</v>
      </c>
      <c r="C79">
        <v>31</v>
      </c>
      <c r="D79">
        <v>296</v>
      </c>
      <c r="E79">
        <v>1</v>
      </c>
      <c r="F79">
        <v>462</v>
      </c>
      <c r="H79" s="1" t="s">
        <v>4</v>
      </c>
      <c r="I79">
        <v>24</v>
      </c>
      <c r="J79" s="1">
        <v>251</v>
      </c>
      <c r="K79">
        <v>26</v>
      </c>
      <c r="L79">
        <v>393</v>
      </c>
      <c r="N79" s="1" t="s">
        <v>4</v>
      </c>
      <c r="O79">
        <v>14</v>
      </c>
      <c r="P79">
        <v>187</v>
      </c>
      <c r="Q79">
        <v>0</v>
      </c>
      <c r="R79">
        <v>350</v>
      </c>
      <c r="U79" s="1" t="s">
        <v>4</v>
      </c>
    </row>
    <row r="80" spans="1:37" ht="15" customHeight="1">
      <c r="B80" s="1" t="s">
        <v>5</v>
      </c>
      <c r="C80">
        <v>11</v>
      </c>
      <c r="D80" s="1">
        <v>22</v>
      </c>
      <c r="E80" s="1">
        <v>209</v>
      </c>
      <c r="F80">
        <v>876</v>
      </c>
      <c r="H80" s="1" t="s">
        <v>5</v>
      </c>
      <c r="I80">
        <v>10</v>
      </c>
      <c r="J80" s="1">
        <v>26</v>
      </c>
      <c r="K80" s="1">
        <v>206</v>
      </c>
      <c r="L80">
        <v>626</v>
      </c>
      <c r="N80" s="1" t="s">
        <v>5</v>
      </c>
      <c r="O80">
        <v>6</v>
      </c>
      <c r="P80" s="1">
        <v>83</v>
      </c>
      <c r="Q80" s="106">
        <v>54</v>
      </c>
      <c r="R80" s="1">
        <v>355</v>
      </c>
      <c r="U80" s="1" t="s">
        <v>5</v>
      </c>
    </row>
    <row r="81" spans="1:25" ht="15" customHeight="1">
      <c r="B81" s="1" t="s">
        <v>6</v>
      </c>
      <c r="C81">
        <v>10</v>
      </c>
      <c r="D81">
        <v>0</v>
      </c>
      <c r="E81">
        <v>361</v>
      </c>
      <c r="F81">
        <v>940</v>
      </c>
      <c r="H81" s="1" t="s">
        <v>6</v>
      </c>
      <c r="I81">
        <v>7</v>
      </c>
      <c r="J81" s="1">
        <v>0</v>
      </c>
      <c r="K81">
        <v>374</v>
      </c>
      <c r="L81">
        <v>811</v>
      </c>
      <c r="N81" s="1" t="s">
        <v>6</v>
      </c>
      <c r="O81">
        <v>7</v>
      </c>
      <c r="P81">
        <v>5</v>
      </c>
      <c r="Q81" s="105">
        <v>261</v>
      </c>
      <c r="R81">
        <v>734</v>
      </c>
      <c r="U81" s="1" t="s">
        <v>6</v>
      </c>
    </row>
    <row r="82" spans="1:25" ht="15" customHeight="1">
      <c r="B82" s="1" t="s">
        <v>7</v>
      </c>
      <c r="C82">
        <v>6</v>
      </c>
      <c r="D82">
        <v>0</v>
      </c>
      <c r="E82">
        <v>327</v>
      </c>
      <c r="F82">
        <v>811</v>
      </c>
      <c r="H82" s="1" t="s">
        <v>7</v>
      </c>
      <c r="I82">
        <v>7</v>
      </c>
      <c r="J82" s="1">
        <v>0</v>
      </c>
      <c r="K82">
        <v>337</v>
      </c>
      <c r="L82">
        <v>995</v>
      </c>
      <c r="N82" s="1" t="s">
        <v>7</v>
      </c>
      <c r="O82" s="53">
        <v>7</v>
      </c>
      <c r="P82" s="53">
        <v>3</v>
      </c>
      <c r="Q82" s="107">
        <v>257</v>
      </c>
      <c r="R82" s="53">
        <v>654</v>
      </c>
      <c r="U82" s="1" t="s">
        <v>7</v>
      </c>
    </row>
    <row r="83" spans="1:25" ht="15" customHeight="1">
      <c r="B83" s="1" t="s">
        <v>8</v>
      </c>
      <c r="C83">
        <v>7</v>
      </c>
      <c r="D83">
        <v>37</v>
      </c>
      <c r="E83">
        <v>189</v>
      </c>
      <c r="F83">
        <v>706</v>
      </c>
      <c r="H83" s="1" t="s">
        <v>8</v>
      </c>
      <c r="I83">
        <v>9</v>
      </c>
      <c r="J83" s="1">
        <v>0</v>
      </c>
      <c r="K83" s="55">
        <v>169</v>
      </c>
      <c r="L83">
        <v>599</v>
      </c>
      <c r="N83" s="1" t="s">
        <v>8</v>
      </c>
      <c r="O83" s="53">
        <v>9</v>
      </c>
      <c r="P83" s="54">
        <v>22</v>
      </c>
      <c r="Q83" s="58">
        <v>106</v>
      </c>
      <c r="R83" s="54">
        <v>364</v>
      </c>
      <c r="U83" s="1" t="s">
        <v>8</v>
      </c>
      <c r="V83">
        <v>20</v>
      </c>
      <c r="W83">
        <v>126</v>
      </c>
      <c r="X83">
        <v>141</v>
      </c>
      <c r="Y83">
        <v>500</v>
      </c>
    </row>
    <row r="84" spans="1:25" ht="15" customHeight="1">
      <c r="B84" s="1" t="s">
        <v>9</v>
      </c>
      <c r="C84">
        <v>26</v>
      </c>
      <c r="D84" s="56">
        <v>327</v>
      </c>
      <c r="E84">
        <v>1</v>
      </c>
      <c r="F84">
        <v>403</v>
      </c>
      <c r="H84" s="1" t="s">
        <v>9</v>
      </c>
      <c r="I84">
        <v>22</v>
      </c>
      <c r="J84" s="1">
        <v>398</v>
      </c>
      <c r="K84">
        <v>0</v>
      </c>
      <c r="L84">
        <v>358</v>
      </c>
      <c r="N84" s="1" t="s">
        <v>9</v>
      </c>
      <c r="O84" s="53">
        <v>38</v>
      </c>
      <c r="P84" s="53">
        <v>393</v>
      </c>
      <c r="Q84" s="53">
        <v>6</v>
      </c>
      <c r="R84" s="53">
        <f>I64</f>
        <v>392</v>
      </c>
      <c r="U84" s="1" t="s">
        <v>9</v>
      </c>
      <c r="V84">
        <v>64</v>
      </c>
      <c r="W84">
        <v>481</v>
      </c>
      <c r="X84">
        <v>6</v>
      </c>
      <c r="Y84">
        <v>487</v>
      </c>
    </row>
    <row r="85" spans="1:25" ht="15" customHeight="1">
      <c r="B85" s="1" t="s">
        <v>10</v>
      </c>
      <c r="C85">
        <v>79</v>
      </c>
      <c r="D85" s="55">
        <v>598</v>
      </c>
      <c r="E85">
        <v>0</v>
      </c>
      <c r="F85">
        <v>533</v>
      </c>
      <c r="H85" s="1" t="s">
        <v>10</v>
      </c>
      <c r="I85">
        <v>127</v>
      </c>
      <c r="J85" s="1">
        <v>806</v>
      </c>
      <c r="K85">
        <v>0</v>
      </c>
      <c r="L85">
        <v>452</v>
      </c>
      <c r="N85" s="1" t="s">
        <v>10</v>
      </c>
      <c r="O85" s="53">
        <v>117</v>
      </c>
      <c r="P85" s="53">
        <v>720</v>
      </c>
      <c r="Q85" s="53">
        <v>0</v>
      </c>
      <c r="R85" s="53">
        <f>I65</f>
        <v>419</v>
      </c>
      <c r="U85" s="1" t="s">
        <v>10</v>
      </c>
      <c r="V85">
        <v>104</v>
      </c>
      <c r="W85" s="55">
        <v>755</v>
      </c>
      <c r="X85">
        <v>0</v>
      </c>
      <c r="Y85">
        <v>549</v>
      </c>
    </row>
    <row r="86" spans="1:25" ht="15" customHeight="1">
      <c r="B86" s="13" t="s">
        <v>11</v>
      </c>
      <c r="C86" s="14">
        <v>160</v>
      </c>
      <c r="D86" s="14">
        <v>868</v>
      </c>
      <c r="E86" s="14">
        <v>0</v>
      </c>
      <c r="F86" s="14">
        <v>649</v>
      </c>
      <c r="H86" s="13" t="s">
        <v>11</v>
      </c>
      <c r="I86" s="14">
        <v>210</v>
      </c>
      <c r="J86" s="127">
        <v>1214</v>
      </c>
      <c r="K86" s="14">
        <v>0</v>
      </c>
      <c r="L86" s="14">
        <v>665</v>
      </c>
      <c r="N86" s="13" t="s">
        <v>11</v>
      </c>
      <c r="O86" s="57">
        <v>162</v>
      </c>
      <c r="P86" s="57">
        <v>893</v>
      </c>
      <c r="Q86" s="57">
        <v>0</v>
      </c>
      <c r="R86" s="57">
        <f>I66</f>
        <v>616</v>
      </c>
      <c r="U86" s="13" t="s">
        <v>11</v>
      </c>
      <c r="V86" s="14">
        <v>211</v>
      </c>
      <c r="W86" s="14">
        <v>1028</v>
      </c>
      <c r="X86" s="14">
        <v>0</v>
      </c>
      <c r="Y86" s="14">
        <v>595</v>
      </c>
    </row>
    <row r="87" spans="1:25" ht="15" customHeight="1">
      <c r="B87" s="4" t="s">
        <v>114</v>
      </c>
      <c r="C87">
        <f>SUM(C75:C86)</f>
        <v>939</v>
      </c>
      <c r="D87">
        <f>SUM(D75:D86)</f>
        <v>5724</v>
      </c>
      <c r="E87">
        <f>SUM(E75:E86)</f>
        <v>1088</v>
      </c>
      <c r="F87">
        <f>SUM(F75:F86)</f>
        <v>7612</v>
      </c>
      <c r="H87" s="4" t="s">
        <v>114</v>
      </c>
      <c r="I87">
        <f>SUM(I75:I86)</f>
        <v>904</v>
      </c>
      <c r="J87" s="1">
        <f>SUM(J75:J86)</f>
        <v>6256</v>
      </c>
      <c r="K87">
        <f>SUM(K75:K86)</f>
        <v>1112</v>
      </c>
      <c r="L87">
        <f>SUM(L75:L86)</f>
        <v>6700</v>
      </c>
      <c r="N87" s="4" t="s">
        <v>114</v>
      </c>
      <c r="O87">
        <f>SUM(O75:O86)</f>
        <v>865</v>
      </c>
      <c r="P87" s="54">
        <f>SUM(P75:P86)</f>
        <v>6071</v>
      </c>
      <c r="Q87" s="54">
        <f>SUM(Q75:Q86)</f>
        <v>684</v>
      </c>
      <c r="R87" s="54">
        <f>SUM(R75:R86)</f>
        <v>5590</v>
      </c>
      <c r="U87" s="4" t="s">
        <v>108</v>
      </c>
      <c r="V87">
        <f>SUM(V75:V86)</f>
        <v>399</v>
      </c>
      <c r="W87">
        <f>SUM(W75:W86)</f>
        <v>2390</v>
      </c>
      <c r="X87">
        <f>SUM(X75:X86)</f>
        <v>147</v>
      </c>
      <c r="Y87">
        <f>SUM(Y75:Y86)</f>
        <v>2131</v>
      </c>
    </row>
    <row r="88" spans="1:25" ht="15" customHeight="1">
      <c r="A88" s="1"/>
      <c r="B88" s="4" t="s">
        <v>258</v>
      </c>
      <c r="C88" s="18">
        <v>784</v>
      </c>
      <c r="D88" s="1"/>
      <c r="E88" s="1"/>
      <c r="F88" s="18">
        <v>993</v>
      </c>
      <c r="G88" s="1"/>
      <c r="H88" s="4" t="s">
        <v>258</v>
      </c>
      <c r="I88" s="18">
        <v>1150</v>
      </c>
      <c r="J88" s="1"/>
      <c r="K88" s="1"/>
      <c r="L88" s="18">
        <v>1019</v>
      </c>
      <c r="M88" s="1"/>
      <c r="N88" s="4" t="s">
        <v>258</v>
      </c>
      <c r="O88" s="18">
        <v>1038</v>
      </c>
      <c r="P88" s="54"/>
      <c r="Q88" s="54"/>
      <c r="R88" s="9" t="s">
        <v>259</v>
      </c>
      <c r="U88" s="4"/>
    </row>
    <row r="89" spans="1:25" ht="15" customHeight="1">
      <c r="A89" s="1"/>
      <c r="B89" s="4"/>
      <c r="C89" s="130">
        <f>100*C88/(C87*29.3*0.8)</f>
        <v>3.561991371257637</v>
      </c>
      <c r="D89" s="9" t="s">
        <v>261</v>
      </c>
      <c r="E89" s="1"/>
      <c r="F89" s="130"/>
      <c r="G89" s="9"/>
      <c r="H89" s="4"/>
      <c r="I89" s="130">
        <f>100*I88/(I87*29.3*0.8)</f>
        <v>5.4271497175994439</v>
      </c>
      <c r="J89" s="9" t="s">
        <v>261</v>
      </c>
      <c r="K89" s="1"/>
      <c r="L89" s="130"/>
      <c r="M89" s="9"/>
      <c r="N89" s="4"/>
      <c r="O89" s="130">
        <f>100*O88/(O87*29.3*0.8)</f>
        <v>5.1194539249146755</v>
      </c>
      <c r="P89" s="129" t="s">
        <v>261</v>
      </c>
      <c r="Q89" s="54"/>
      <c r="R89" s="9"/>
      <c r="U89" s="4"/>
    </row>
    <row r="90" spans="1:25" ht="15" customHeight="1">
      <c r="D90" s="5" t="s">
        <v>260</v>
      </c>
      <c r="F90" s="17"/>
      <c r="H90" s="1"/>
      <c r="I90" s="1"/>
      <c r="M90" s="25"/>
      <c r="O90" s="1"/>
      <c r="P90" s="1"/>
    </row>
    <row r="91" spans="1:25" ht="15" customHeight="1">
      <c r="F91" s="17"/>
      <c r="H91" s="1"/>
      <c r="I91" s="1"/>
      <c r="M91" s="25"/>
      <c r="O91" s="1"/>
      <c r="P91" s="1"/>
    </row>
    <row r="92" spans="1:25" ht="15" customHeight="1"/>
    <row r="93" spans="1:25" ht="20" customHeight="1">
      <c r="A93" s="95" t="s">
        <v>133</v>
      </c>
    </row>
    <row r="94" spans="1:25" ht="15" customHeight="1">
      <c r="A94" s="3" t="s">
        <v>44</v>
      </c>
      <c r="B94" s="3" t="s">
        <v>112</v>
      </c>
      <c r="C94" s="3" t="s">
        <v>23</v>
      </c>
      <c r="D94" s="3" t="s">
        <v>14</v>
      </c>
      <c r="E94" s="3" t="s">
        <v>246</v>
      </c>
      <c r="G94" s="49" t="s">
        <v>192</v>
      </c>
    </row>
    <row r="95" spans="1:25" ht="15" customHeight="1">
      <c r="A95">
        <v>2008</v>
      </c>
      <c r="B95" s="22">
        <v>773</v>
      </c>
      <c r="C95" s="20">
        <v>9875</v>
      </c>
      <c r="D95" s="22"/>
      <c r="E95" s="20"/>
      <c r="Q95" s="96"/>
    </row>
    <row r="96" spans="1:25" ht="15" customHeight="1">
      <c r="A96">
        <v>2009</v>
      </c>
      <c r="B96" s="22">
        <v>805</v>
      </c>
      <c r="C96" s="20">
        <v>8889</v>
      </c>
      <c r="D96" s="22"/>
      <c r="E96" s="20"/>
    </row>
    <row r="97" spans="1:7" ht="15" customHeight="1">
      <c r="A97">
        <v>2010</v>
      </c>
      <c r="B97" s="22">
        <v>851</v>
      </c>
      <c r="C97" s="20">
        <v>8457</v>
      </c>
      <c r="D97" s="22"/>
      <c r="E97" s="20"/>
    </row>
    <row r="98" spans="1:7" ht="15" customHeight="1">
      <c r="A98">
        <v>2011</v>
      </c>
      <c r="B98" s="22">
        <v>910</v>
      </c>
      <c r="C98" s="20">
        <v>9112</v>
      </c>
      <c r="D98" s="22"/>
      <c r="E98" s="20"/>
    </row>
    <row r="99" spans="1:7" ht="15" customHeight="1">
      <c r="A99">
        <v>2012</v>
      </c>
      <c r="B99" s="22">
        <v>776</v>
      </c>
      <c r="C99" s="20">
        <v>8269</v>
      </c>
      <c r="D99" s="22"/>
      <c r="E99" s="20"/>
      <c r="G99" t="s">
        <v>134</v>
      </c>
    </row>
    <row r="100" spans="1:7" ht="15" customHeight="1">
      <c r="A100">
        <v>2013</v>
      </c>
      <c r="B100" s="22">
        <v>1053</v>
      </c>
      <c r="C100" s="20">
        <v>9113</v>
      </c>
      <c r="D100" s="22"/>
      <c r="E100" s="20"/>
      <c r="G100" t="s">
        <v>135</v>
      </c>
    </row>
    <row r="101" spans="1:7" ht="15" customHeight="1">
      <c r="A101">
        <v>2014</v>
      </c>
      <c r="B101" s="22">
        <v>1122</v>
      </c>
      <c r="C101" s="20">
        <v>8179</v>
      </c>
      <c r="D101" s="22"/>
      <c r="E101" s="20"/>
    </row>
    <row r="102" spans="1:7" ht="15" customHeight="1">
      <c r="A102">
        <v>2015</v>
      </c>
      <c r="B102" s="22">
        <v>994</v>
      </c>
      <c r="C102" s="20">
        <v>7266</v>
      </c>
      <c r="D102" s="22"/>
      <c r="E102" s="20"/>
    </row>
    <row r="103" spans="1:7" ht="15" customHeight="1">
      <c r="A103">
        <v>2016</v>
      </c>
      <c r="B103" s="22">
        <v>878</v>
      </c>
      <c r="C103" s="20">
        <v>7518</v>
      </c>
      <c r="D103" s="22"/>
      <c r="E103" s="20"/>
    </row>
    <row r="104" spans="1:7" ht="15" customHeight="1">
      <c r="A104">
        <v>2017</v>
      </c>
      <c r="B104" s="22">
        <v>861</v>
      </c>
      <c r="C104" s="20">
        <v>7511</v>
      </c>
      <c r="D104" s="22"/>
      <c r="E104" s="20"/>
    </row>
    <row r="105" spans="1:7" ht="15" customHeight="1">
      <c r="A105">
        <v>2018</v>
      </c>
      <c r="B105" s="22">
        <v>1003</v>
      </c>
      <c r="C105" s="20">
        <v>8843</v>
      </c>
      <c r="D105" s="22"/>
      <c r="E105" s="20"/>
    </row>
    <row r="106" spans="1:7" ht="15" customHeight="1">
      <c r="A106">
        <v>2019</v>
      </c>
      <c r="B106" s="22">
        <v>1065</v>
      </c>
      <c r="C106" s="20">
        <v>7466</v>
      </c>
      <c r="D106" s="22"/>
      <c r="E106" s="20"/>
      <c r="G106" t="s">
        <v>149</v>
      </c>
    </row>
    <row r="107" spans="1:7" ht="15" customHeight="1">
      <c r="A107">
        <v>2020</v>
      </c>
      <c r="B107" s="22">
        <v>1041</v>
      </c>
      <c r="C107" s="20">
        <v>7568</v>
      </c>
      <c r="D107" s="22"/>
      <c r="E107" s="20"/>
      <c r="G107" t="s">
        <v>136</v>
      </c>
    </row>
    <row r="108" spans="1:7" ht="15" customHeight="1">
      <c r="A108">
        <v>2021</v>
      </c>
      <c r="B108" s="22">
        <f>C87</f>
        <v>939</v>
      </c>
      <c r="C108" s="20">
        <f>F87</f>
        <v>7612</v>
      </c>
      <c r="D108" s="22"/>
      <c r="E108" s="20"/>
      <c r="G108" t="s">
        <v>137</v>
      </c>
    </row>
    <row r="109" spans="1:7" ht="15" customHeight="1">
      <c r="A109">
        <v>2022</v>
      </c>
      <c r="B109" s="22">
        <f>I87</f>
        <v>904</v>
      </c>
      <c r="C109" s="20">
        <f>L87</f>
        <v>6700</v>
      </c>
      <c r="D109" s="22"/>
      <c r="E109" s="20"/>
      <c r="G109" t="s">
        <v>194</v>
      </c>
    </row>
    <row r="110" spans="1:7" ht="15" customHeight="1">
      <c r="A110">
        <v>2023</v>
      </c>
      <c r="B110" s="22">
        <f>O87</f>
        <v>865</v>
      </c>
      <c r="C110" s="20">
        <f>R87</f>
        <v>5590</v>
      </c>
      <c r="D110" s="22">
        <f>H67</f>
        <v>2232</v>
      </c>
      <c r="E110" s="20">
        <f>K67</f>
        <v>404</v>
      </c>
      <c r="F110" t="s">
        <v>138</v>
      </c>
      <c r="G110" t="s">
        <v>132</v>
      </c>
    </row>
    <row r="111" spans="1:7" ht="15" customHeight="1">
      <c r="A111">
        <v>2024</v>
      </c>
      <c r="B111" s="22"/>
      <c r="C111" s="22"/>
      <c r="D111" s="22"/>
      <c r="E111" s="20"/>
      <c r="G111" t="s">
        <v>263</v>
      </c>
    </row>
    <row r="112" spans="1:7" ht="15" customHeight="1">
      <c r="B112" s="22"/>
      <c r="C112" s="22"/>
      <c r="D112" s="22"/>
      <c r="E112" s="22"/>
    </row>
    <row r="113" ht="15" customHeight="1"/>
  </sheetData>
  <mergeCells count="19">
    <mergeCell ref="B73:F73"/>
    <mergeCell ref="H73:L73"/>
    <mergeCell ref="B52:F52"/>
    <mergeCell ref="A29:E29"/>
    <mergeCell ref="N53:O53"/>
    <mergeCell ref="B32:F32"/>
    <mergeCell ref="H32:J32"/>
    <mergeCell ref="L32:O32"/>
    <mergeCell ref="N33:O33"/>
    <mergeCell ref="A51:A52"/>
    <mergeCell ref="A31:A32"/>
    <mergeCell ref="H52:J52"/>
    <mergeCell ref="L52:O52"/>
    <mergeCell ref="N73:R73"/>
    <mergeCell ref="U73:Y73"/>
    <mergeCell ref="Y52:AA52"/>
    <mergeCell ref="AB52:AD52"/>
    <mergeCell ref="V51:AC51"/>
    <mergeCell ref="S52:U52"/>
  </mergeCells>
  <pageMargins left="0.7" right="0.7" top="0.75" bottom="0.75" header="0.3" footer="0.3"/>
  <pageSetup orientation="portrait" horizontalDpi="4294967293" verticalDpi="4294967293" r:id="rId1"/>
  <ignoredErrors>
    <ignoredError sqref="J67 O45" formula="1"/>
  </ignoredErrors>
</worksheet>
</file>

<file path=xl/worksheets/sheet4.xml><?xml version="1.0" encoding="utf-8"?>
<worksheet xmlns="http://schemas.openxmlformats.org/spreadsheetml/2006/main" xmlns:r="http://schemas.openxmlformats.org/officeDocument/2006/relationships">
  <dimension ref="A1:A4"/>
  <sheetViews>
    <sheetView workbookViewId="0">
      <selection activeCell="A2" sqref="A2"/>
    </sheetView>
  </sheetViews>
  <sheetFormatPr defaultRowHeight="14.5"/>
  <cols>
    <col min="1" max="1" width="10.7265625" customWidth="1"/>
    <col min="2" max="2" width="12.1796875" customWidth="1"/>
    <col min="3" max="3" width="11.36328125" customWidth="1"/>
    <col min="4" max="4" width="11.7265625" customWidth="1"/>
    <col min="5" max="6" width="10.6328125" customWidth="1"/>
    <col min="7" max="7" width="9.90625" customWidth="1"/>
    <col min="8" max="8" width="10.6328125" customWidth="1"/>
    <col min="9" max="9" width="9.6328125" customWidth="1"/>
    <col min="11" max="11" width="9.7265625" customWidth="1"/>
    <col min="12" max="12" width="9.6328125" customWidth="1"/>
    <col min="13" max="13" width="9.453125" customWidth="1"/>
    <col min="14" max="14" width="11.453125" customWidth="1"/>
    <col min="16" max="16" width="10.26953125" customWidth="1"/>
  </cols>
  <sheetData>
    <row r="1" spans="1:1" ht="25" customHeight="1">
      <c r="A1" s="63" t="s">
        <v>184</v>
      </c>
    </row>
    <row r="2" spans="1:1" ht="20" customHeight="1">
      <c r="A2" s="12"/>
    </row>
    <row r="3" spans="1:1" ht="15" customHeight="1">
      <c r="A3" t="s">
        <v>25</v>
      </c>
    </row>
    <row r="4" spans="1:1" ht="15" customHeight="1">
      <c r="A4" s="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dimension ref="A1:A4"/>
  <sheetViews>
    <sheetView workbookViewId="0">
      <selection activeCell="A2" sqref="A2"/>
    </sheetView>
  </sheetViews>
  <sheetFormatPr defaultRowHeight="14.5"/>
  <cols>
    <col min="1" max="1" width="10.7265625" customWidth="1"/>
    <col min="2" max="2" width="12.1796875" customWidth="1"/>
    <col min="3" max="3" width="11.36328125" customWidth="1"/>
    <col min="4" max="4" width="11.7265625" customWidth="1"/>
    <col min="5" max="6" width="10.6328125" customWidth="1"/>
    <col min="7" max="7" width="9.90625" customWidth="1"/>
    <col min="8" max="8" width="10.6328125" customWidth="1"/>
    <col min="9" max="9" width="9.6328125" customWidth="1"/>
    <col min="11" max="11" width="9.7265625" customWidth="1"/>
    <col min="12" max="12" width="9.6328125" customWidth="1"/>
    <col min="13" max="13" width="9.453125" customWidth="1"/>
    <col min="14" max="14" width="11.453125" customWidth="1"/>
    <col min="16" max="16" width="10.26953125" customWidth="1"/>
  </cols>
  <sheetData>
    <row r="1" spans="1:1" ht="25" customHeight="1">
      <c r="A1" s="63" t="s">
        <v>185</v>
      </c>
    </row>
    <row r="2" spans="1:1" ht="20" customHeight="1">
      <c r="A2" s="12"/>
    </row>
    <row r="3" spans="1:1" ht="15" customHeight="1">
      <c r="A3" t="s">
        <v>150</v>
      </c>
    </row>
    <row r="4" spans="1:1" ht="15" customHeight="1">
      <c r="A4" s="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dimension ref="A1:A34"/>
  <sheetViews>
    <sheetView workbookViewId="0">
      <selection activeCell="A2" sqref="A2"/>
    </sheetView>
  </sheetViews>
  <sheetFormatPr defaultRowHeight="14.5"/>
  <sheetData>
    <row r="1" spans="1:1" ht="25" customHeight="1">
      <c r="A1" s="63" t="s">
        <v>186</v>
      </c>
    </row>
    <row r="2" spans="1:1" ht="20" customHeight="1"/>
    <row r="3" spans="1:1" ht="15" customHeight="1"/>
    <row r="4" spans="1:1" ht="15" customHeight="1"/>
    <row r="5" spans="1:1" ht="15" customHeight="1"/>
    <row r="6" spans="1:1" ht="15" customHeight="1"/>
    <row r="7" spans="1:1" ht="15" customHeight="1"/>
    <row r="8" spans="1:1" ht="15" customHeight="1"/>
    <row r="9" spans="1:1" ht="15" customHeight="1"/>
    <row r="10" spans="1:1" ht="15" customHeight="1"/>
    <row r="11" spans="1:1" ht="15" customHeight="1"/>
    <row r="12" spans="1:1" ht="15" customHeight="1"/>
    <row r="13" spans="1:1" ht="15" customHeight="1"/>
    <row r="14" spans="1:1" ht="15" customHeight="1"/>
    <row r="15" spans="1:1" ht="15" customHeight="1"/>
    <row r="16" spans="1:1"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AD114"/>
  <sheetViews>
    <sheetView workbookViewId="0">
      <selection activeCell="A2" sqref="A2"/>
    </sheetView>
  </sheetViews>
  <sheetFormatPr defaultRowHeight="14.5"/>
  <cols>
    <col min="1" max="26" width="11.6328125" customWidth="1"/>
  </cols>
  <sheetData>
    <row r="1" spans="1:30" ht="25" customHeight="1">
      <c r="A1" s="63" t="s">
        <v>90</v>
      </c>
    </row>
    <row r="2" spans="1:30" ht="20" customHeight="1">
      <c r="A2" s="12"/>
    </row>
    <row r="3" spans="1:30" ht="15" customHeight="1">
      <c r="A3" s="5" t="s">
        <v>128</v>
      </c>
    </row>
    <row r="4" spans="1:30" ht="15" customHeight="1"/>
    <row r="5" spans="1:30" ht="15" customHeight="1">
      <c r="A5" s="5" t="s">
        <v>169</v>
      </c>
    </row>
    <row r="6" spans="1:30" ht="15" customHeight="1">
      <c r="A6" s="8">
        <v>18504</v>
      </c>
      <c r="B6" t="s">
        <v>101</v>
      </c>
    </row>
    <row r="7" spans="1:30" ht="15" customHeight="1">
      <c r="A7" s="8">
        <f>0.3*A6</f>
        <v>5551.2</v>
      </c>
      <c r="B7" t="s">
        <v>21</v>
      </c>
    </row>
    <row r="8" spans="1:30" ht="15" customHeight="1">
      <c r="A8" s="8">
        <f>A6-A7</f>
        <v>12952.8</v>
      </c>
      <c r="B8" t="s">
        <v>91</v>
      </c>
    </row>
    <row r="9" spans="1:30" ht="15" customHeight="1">
      <c r="A9" s="8">
        <v>200</v>
      </c>
      <c r="B9" t="s">
        <v>102</v>
      </c>
    </row>
    <row r="10" spans="1:30" ht="15" customHeight="1">
      <c r="A10" s="8">
        <f>A8+A9</f>
        <v>13152.8</v>
      </c>
      <c r="B10" t="s">
        <v>72</v>
      </c>
    </row>
    <row r="11" spans="1:30" ht="15" customHeight="1">
      <c r="A11" s="8"/>
    </row>
    <row r="12" spans="1:30" ht="20" customHeight="1">
      <c r="A12" s="47">
        <v>1</v>
      </c>
      <c r="B12" s="45" t="s">
        <v>129</v>
      </c>
      <c r="C12" s="46"/>
      <c r="D12" s="46"/>
      <c r="E12" s="46"/>
      <c r="F12" s="46"/>
      <c r="G12" s="46"/>
      <c r="H12" s="46"/>
      <c r="I12" s="46"/>
      <c r="J12" s="46"/>
      <c r="K12" s="46"/>
      <c r="L12" s="46"/>
      <c r="M12" s="46"/>
      <c r="N12" s="46"/>
      <c r="O12" s="46"/>
      <c r="P12" s="46"/>
      <c r="Q12" s="46"/>
      <c r="R12" s="46"/>
      <c r="S12" s="46"/>
    </row>
    <row r="13" spans="1:30" ht="15" customHeight="1">
      <c r="A13" s="29" t="s">
        <v>168</v>
      </c>
      <c r="B13" s="30"/>
    </row>
    <row r="14" spans="1:30" ht="15" customHeight="1">
      <c r="A14" s="22"/>
      <c r="B14" s="30"/>
      <c r="X14" s="64"/>
      <c r="Y14" s="64"/>
      <c r="Z14" s="64"/>
      <c r="AA14" s="64"/>
      <c r="AB14" s="64"/>
      <c r="AC14" s="64"/>
      <c r="AD14" s="64"/>
    </row>
    <row r="15" spans="1:30" ht="15" customHeight="1">
      <c r="A15" s="71"/>
      <c r="B15" s="87"/>
      <c r="C15" s="140" t="s">
        <v>166</v>
      </c>
      <c r="D15" s="140"/>
      <c r="E15" s="140"/>
      <c r="F15" s="140"/>
      <c r="G15" s="140"/>
      <c r="H15" s="136" t="s">
        <v>167</v>
      </c>
      <c r="I15" s="136"/>
      <c r="J15" s="72" t="s">
        <v>163</v>
      </c>
      <c r="K15" s="81"/>
      <c r="L15" s="81"/>
      <c r="M15" s="72" t="s">
        <v>165</v>
      </c>
      <c r="N15" s="72" t="s">
        <v>172</v>
      </c>
      <c r="O15" s="81"/>
      <c r="P15" s="81"/>
      <c r="Q15" s="81"/>
      <c r="R15" s="81"/>
      <c r="S15" s="81"/>
    </row>
    <row r="16" spans="1:30" ht="15" customHeight="1">
      <c r="A16" s="40" t="s">
        <v>213</v>
      </c>
      <c r="B16" s="31" t="s">
        <v>62</v>
      </c>
      <c r="C16" s="31" t="s">
        <v>159</v>
      </c>
      <c r="D16" s="31" t="s">
        <v>158</v>
      </c>
      <c r="E16" s="31" t="s">
        <v>160</v>
      </c>
      <c r="F16" s="31" t="s">
        <v>161</v>
      </c>
      <c r="G16" s="31" t="s">
        <v>53</v>
      </c>
      <c r="H16" s="31" t="s">
        <v>159</v>
      </c>
      <c r="I16" s="31" t="s">
        <v>160</v>
      </c>
      <c r="J16" s="31" t="s">
        <v>170</v>
      </c>
      <c r="K16" s="31" t="s">
        <v>164</v>
      </c>
      <c r="L16" s="31" t="s">
        <v>65</v>
      </c>
      <c r="M16" s="31" t="s">
        <v>171</v>
      </c>
      <c r="N16" s="31" t="s">
        <v>74</v>
      </c>
      <c r="O16" s="31" t="s">
        <v>63</v>
      </c>
      <c r="P16" s="31" t="s">
        <v>64</v>
      </c>
      <c r="Q16" s="31" t="s">
        <v>70</v>
      </c>
      <c r="R16" s="31" t="s">
        <v>211</v>
      </c>
      <c r="S16" s="31" t="s">
        <v>71</v>
      </c>
      <c r="T16" s="31" t="s">
        <v>207</v>
      </c>
      <c r="U16" s="31" t="str">
        <f>A16</f>
        <v>Selected #</v>
      </c>
      <c r="V16" s="31" t="s">
        <v>62</v>
      </c>
    </row>
    <row r="17" spans="1:23" ht="15" customHeight="1">
      <c r="A17" s="71">
        <f>$A$12</f>
        <v>1</v>
      </c>
      <c r="B17" s="72" t="str">
        <f>VLOOKUP(A12,A19:AB28,2)</f>
        <v>So Far</v>
      </c>
      <c r="C17" s="73">
        <f>VLOOKUP(A12,A19:AB28,3)</f>
        <v>18504</v>
      </c>
      <c r="D17" s="74">
        <f>VLOOKUP(A12,A19:AB28,4)</f>
        <v>0.3</v>
      </c>
      <c r="E17" s="73">
        <f>C17*(1-D17)</f>
        <v>12952.8</v>
      </c>
      <c r="F17" s="73">
        <f>VLOOKUP(A12,A19:AB28,6)</f>
        <v>200</v>
      </c>
      <c r="G17" s="73">
        <f>E17+F17</f>
        <v>13152.8</v>
      </c>
      <c r="H17" s="75">
        <f>(C17+F17)/(1000*K17)</f>
        <v>2.597777777777778</v>
      </c>
      <c r="I17" s="75">
        <f>G17/(1000*K17)</f>
        <v>1.8267777777777776</v>
      </c>
      <c r="J17" s="75">
        <f>G17/L17</f>
        <v>1.4861920903954802</v>
      </c>
      <c r="K17" s="76">
        <f>VLOOKUP(A12,A19:AB28,11)</f>
        <v>7.2</v>
      </c>
      <c r="L17" s="77">
        <f>VLOOKUP(A12,A19:AB28,12)</f>
        <v>8850</v>
      </c>
      <c r="M17" s="88">
        <f>L17/(24*365*K17)</f>
        <v>0.1403158295281583</v>
      </c>
      <c r="N17" s="88">
        <f>VLOOKUP(A12,A19:AB28,14)</f>
        <v>5.0000000000000001E-3</v>
      </c>
      <c r="O17" s="77">
        <f>VLOOKUP(A12,A19:AB28,15)</f>
        <v>6117</v>
      </c>
      <c r="P17" s="79">
        <f>VLOOKUP(A12,A19:AB28,16)</f>
        <v>14.7</v>
      </c>
      <c r="Q17" s="78">
        <f>VLOOKUP(A12,A19:AB28,17)</f>
        <v>2.5000000000000001E-2</v>
      </c>
      <c r="R17" s="74">
        <f>VLOOKUP(A12,A19:AB28,18)</f>
        <v>1</v>
      </c>
      <c r="S17" s="78">
        <f>VLOOKUP(A12,A19:AB28,19)</f>
        <v>7.4999999999999997E-2</v>
      </c>
      <c r="T17" s="77">
        <f>VLOOKUP(A12,A19:AB28,20)</f>
        <v>2023</v>
      </c>
      <c r="U17" s="77">
        <f>VLOOKUP(A12,A19:AB28,21)</f>
        <v>1</v>
      </c>
      <c r="V17" s="80" t="str">
        <f>VLOOKUP(A12,A19:AB28,22)</f>
        <v xml:space="preserve">   "Semi-actual" -  eyeball early usage and use that for average - currently using 9/1/2023-9/1/2024 - see note #1</v>
      </c>
      <c r="W17" s="81"/>
    </row>
    <row r="18" spans="1:23" ht="15" customHeight="1">
      <c r="A18" s="29"/>
      <c r="B18" s="4"/>
      <c r="C18" s="32"/>
      <c r="D18" s="69"/>
      <c r="E18" s="32"/>
      <c r="F18" s="32"/>
      <c r="G18" s="32"/>
      <c r="H18" s="66"/>
      <c r="I18" s="66"/>
      <c r="J18" s="66"/>
      <c r="K18" s="65"/>
      <c r="L18" s="34"/>
      <c r="M18" s="89"/>
      <c r="N18" s="89"/>
      <c r="O18" s="34"/>
      <c r="P18" s="35"/>
      <c r="Q18" s="33"/>
      <c r="R18" s="100"/>
      <c r="S18" s="33"/>
      <c r="T18" s="34"/>
      <c r="U18" s="33"/>
      <c r="V18" s="5"/>
    </row>
    <row r="19" spans="1:23" ht="15" customHeight="1">
      <c r="A19" s="82">
        <v>0</v>
      </c>
      <c r="B19" s="54" t="s">
        <v>68</v>
      </c>
      <c r="C19" s="69">
        <v>18504</v>
      </c>
      <c r="D19" s="68">
        <v>0.3</v>
      </c>
      <c r="E19" s="69">
        <f>C19*(1-D19)</f>
        <v>12952.8</v>
      </c>
      <c r="F19" s="69">
        <v>200</v>
      </c>
      <c r="G19" s="69">
        <f>E19+F19</f>
        <v>13152.8</v>
      </c>
      <c r="H19" s="83">
        <f>(C19+F19)/(1000*K19)</f>
        <v>2.597777777777778</v>
      </c>
      <c r="I19" s="83">
        <f>G19/(1000*K19)</f>
        <v>1.8267777777777776</v>
      </c>
      <c r="J19" s="83">
        <f>G19/L19</f>
        <v>1.5547044917257682</v>
      </c>
      <c r="K19" s="70">
        <v>7.2</v>
      </c>
      <c r="L19" s="20">
        <f>S43</f>
        <v>8460</v>
      </c>
      <c r="M19" s="90">
        <f>L19/(365*24*K19)</f>
        <v>0.1341324200913242</v>
      </c>
      <c r="N19" s="90">
        <v>5.0000000000000001E-3</v>
      </c>
      <c r="O19" s="84">
        <f>U43</f>
        <v>5682</v>
      </c>
      <c r="P19" s="86">
        <f>P43</f>
        <v>14.473072861668427</v>
      </c>
      <c r="Q19" s="85">
        <v>2.5000000000000001E-2</v>
      </c>
      <c r="R19" s="68">
        <v>1</v>
      </c>
      <c r="S19" s="85">
        <v>7.4999999999999997E-2</v>
      </c>
      <c r="T19" s="84">
        <v>2023</v>
      </c>
      <c r="U19" s="84">
        <f>A19</f>
        <v>0</v>
      </c>
      <c r="V19" s="5" t="s">
        <v>251</v>
      </c>
    </row>
    <row r="20" spans="1:23" ht="15" customHeight="1">
      <c r="A20" s="82">
        <v>1</v>
      </c>
      <c r="B20" s="1" t="s">
        <v>200</v>
      </c>
      <c r="C20" s="69">
        <v>18504</v>
      </c>
      <c r="D20" s="68">
        <v>0.3</v>
      </c>
      <c r="E20" s="69">
        <f>C20*(1-D20)</f>
        <v>12952.8</v>
      </c>
      <c r="F20" s="69">
        <v>200</v>
      </c>
      <c r="G20" s="69">
        <f>E20+F20</f>
        <v>13152.8</v>
      </c>
      <c r="H20" s="83">
        <f>(C20+F20)/(1000*K20)</f>
        <v>2.597777777777778</v>
      </c>
      <c r="I20" s="83">
        <f>G20/(1000*K20)</f>
        <v>1.8267777777777776</v>
      </c>
      <c r="J20" s="83">
        <f>G20/L20</f>
        <v>1.4861920903954802</v>
      </c>
      <c r="K20" s="70">
        <v>7.2</v>
      </c>
      <c r="L20" s="84">
        <v>8850</v>
      </c>
      <c r="M20" s="90">
        <f>L20/(365*24*K20)</f>
        <v>0.1403158295281583</v>
      </c>
      <c r="N20" s="90">
        <v>5.0000000000000001E-3</v>
      </c>
      <c r="O20" s="84">
        <v>6117</v>
      </c>
      <c r="P20" s="86">
        <v>14.7</v>
      </c>
      <c r="Q20" s="85">
        <v>2.5000000000000001E-2</v>
      </c>
      <c r="R20" s="68">
        <v>1</v>
      </c>
      <c r="S20" s="85">
        <v>7.4999999999999997E-2</v>
      </c>
      <c r="T20" s="84">
        <v>2023</v>
      </c>
      <c r="U20" s="84">
        <f t="shared" ref="U20:U28" si="0">A20</f>
        <v>1</v>
      </c>
      <c r="V20" s="5" t="s">
        <v>202</v>
      </c>
    </row>
    <row r="21" spans="1:23" ht="15" customHeight="1">
      <c r="A21" s="22">
        <v>2</v>
      </c>
      <c r="B21" s="1" t="s">
        <v>162</v>
      </c>
      <c r="C21" s="18">
        <v>18504</v>
      </c>
      <c r="D21" s="68">
        <v>0.3</v>
      </c>
      <c r="E21" s="18">
        <f t="shared" ref="E21:E28" si="1">C21*(1-D21)</f>
        <v>12952.8</v>
      </c>
      <c r="F21" s="18">
        <v>200</v>
      </c>
      <c r="G21" s="18">
        <f t="shared" ref="G21:G28" si="2">E21+F21</f>
        <v>13152.8</v>
      </c>
      <c r="H21" s="67">
        <f t="shared" ref="H21:H27" si="3">(C21+F21)/(1000*K21)</f>
        <v>2.597777777777778</v>
      </c>
      <c r="I21" s="67">
        <f t="shared" ref="I21:I27" si="4">G21/(1000*K21)</f>
        <v>1.8267777777777776</v>
      </c>
      <c r="J21" s="67">
        <f t="shared" ref="J21:J27" si="5">G21/L21</f>
        <v>1.4614222222222222</v>
      </c>
      <c r="K21" s="70">
        <v>7.2</v>
      </c>
      <c r="L21" s="20">
        <v>9000</v>
      </c>
      <c r="M21" s="91">
        <f>L21/(365*24*K21)</f>
        <v>0.14269406392694065</v>
      </c>
      <c r="N21" s="91">
        <v>5.0000000000000001E-3</v>
      </c>
      <c r="O21" s="20">
        <v>7500</v>
      </c>
      <c r="P21" s="19">
        <v>13.5</v>
      </c>
      <c r="Q21" s="28">
        <v>2.5000000000000001E-2</v>
      </c>
      <c r="R21" s="101">
        <v>1</v>
      </c>
      <c r="S21" s="28">
        <v>7.4999999999999997E-2</v>
      </c>
      <c r="T21" s="20">
        <v>2023</v>
      </c>
      <c r="U21" s="20">
        <f t="shared" si="0"/>
        <v>2</v>
      </c>
      <c r="V21" t="s">
        <v>125</v>
      </c>
    </row>
    <row r="22" spans="1:23" ht="15" customHeight="1">
      <c r="A22" s="22">
        <v>3</v>
      </c>
      <c r="B22" s="27" t="s">
        <v>66</v>
      </c>
      <c r="C22" s="18">
        <v>18504</v>
      </c>
      <c r="D22" s="68">
        <v>0.3</v>
      </c>
      <c r="E22" s="18">
        <f t="shared" si="1"/>
        <v>12952.8</v>
      </c>
      <c r="F22" s="18">
        <v>200</v>
      </c>
      <c r="G22" s="18">
        <f t="shared" si="2"/>
        <v>13152.8</v>
      </c>
      <c r="H22" s="67">
        <f t="shared" si="3"/>
        <v>2.597777777777778</v>
      </c>
      <c r="I22" s="67">
        <f t="shared" si="4"/>
        <v>1.8267777777777776</v>
      </c>
      <c r="J22" s="67">
        <f t="shared" si="5"/>
        <v>1.4614222222222222</v>
      </c>
      <c r="K22" s="70">
        <v>7.2</v>
      </c>
      <c r="L22" s="20">
        <v>9000</v>
      </c>
      <c r="M22" s="91">
        <f>L22/(365*24*K22)</f>
        <v>0.14269406392694065</v>
      </c>
      <c r="N22" s="91">
        <v>5.0000000000000001E-3</v>
      </c>
      <c r="O22" s="20">
        <v>9000</v>
      </c>
      <c r="P22" s="19">
        <v>13.5</v>
      </c>
      <c r="Q22" s="28">
        <v>2.5000000000000001E-2</v>
      </c>
      <c r="R22" s="101">
        <v>1</v>
      </c>
      <c r="S22" s="28">
        <v>7.4999999999999997E-2</v>
      </c>
      <c r="T22" s="20">
        <v>2023</v>
      </c>
      <c r="U22" s="20">
        <f t="shared" si="0"/>
        <v>3</v>
      </c>
      <c r="V22" t="s">
        <v>73</v>
      </c>
    </row>
    <row r="23" spans="1:23" ht="15" customHeight="1">
      <c r="A23" s="22">
        <v>4</v>
      </c>
      <c r="B23" s="27" t="s">
        <v>67</v>
      </c>
      <c r="C23" s="18">
        <v>15420</v>
      </c>
      <c r="D23" s="68">
        <v>0.3</v>
      </c>
      <c r="E23" s="18">
        <f t="shared" si="1"/>
        <v>10794</v>
      </c>
      <c r="F23" s="18">
        <v>200</v>
      </c>
      <c r="G23" s="18">
        <f t="shared" si="2"/>
        <v>10994</v>
      </c>
      <c r="H23" s="67">
        <f t="shared" si="3"/>
        <v>2.6033333333333335</v>
      </c>
      <c r="I23" s="67">
        <f t="shared" si="4"/>
        <v>1.8323333333333334</v>
      </c>
      <c r="J23" s="67">
        <f t="shared" si="5"/>
        <v>1.4658666666666667</v>
      </c>
      <c r="K23" s="70">
        <v>6</v>
      </c>
      <c r="L23" s="20">
        <v>7500</v>
      </c>
      <c r="M23" s="91">
        <f t="shared" ref="M23:M27" si="6">L23/(365*24*K23)</f>
        <v>0.14269406392694065</v>
      </c>
      <c r="N23" s="91">
        <v>5.0000000000000001E-3</v>
      </c>
      <c r="O23" s="20">
        <v>7500</v>
      </c>
      <c r="P23" s="19">
        <v>13.5</v>
      </c>
      <c r="Q23" s="28">
        <v>2.5000000000000001E-2</v>
      </c>
      <c r="R23" s="101">
        <v>1</v>
      </c>
      <c r="S23" s="28">
        <v>7.4999999999999997E-2</v>
      </c>
      <c r="T23" s="20">
        <v>2023</v>
      </c>
      <c r="U23" s="20">
        <f t="shared" si="0"/>
        <v>4</v>
      </c>
      <c r="V23" t="s">
        <v>126</v>
      </c>
    </row>
    <row r="24" spans="1:23" ht="15" customHeight="1">
      <c r="A24" s="22">
        <v>5</v>
      </c>
      <c r="B24" s="27" t="s">
        <v>75</v>
      </c>
      <c r="C24" s="18">
        <v>50000</v>
      </c>
      <c r="D24" s="68">
        <v>0.3</v>
      </c>
      <c r="E24" s="18">
        <f t="shared" si="1"/>
        <v>35000</v>
      </c>
      <c r="F24" s="18">
        <v>0</v>
      </c>
      <c r="G24" s="18">
        <f t="shared" si="2"/>
        <v>35000</v>
      </c>
      <c r="H24" s="67">
        <f t="shared" si="3"/>
        <v>3.6764705882352939</v>
      </c>
      <c r="I24" s="67">
        <f t="shared" si="4"/>
        <v>2.5735294117647061</v>
      </c>
      <c r="J24" s="67">
        <f t="shared" si="5"/>
        <v>2.0588235294117645</v>
      </c>
      <c r="K24" s="70">
        <v>13.6</v>
      </c>
      <c r="L24" s="20">
        <v>17000</v>
      </c>
      <c r="M24" s="91">
        <f t="shared" si="6"/>
        <v>0.14269406392694065</v>
      </c>
      <c r="N24" s="91">
        <v>5.0000000000000001E-3</v>
      </c>
      <c r="O24" s="20">
        <v>17000</v>
      </c>
      <c r="P24" s="19">
        <v>13.5</v>
      </c>
      <c r="Q24" s="28">
        <v>2.5000000000000001E-2</v>
      </c>
      <c r="R24" s="101">
        <v>1</v>
      </c>
      <c r="S24" s="28">
        <v>7.4999999999999997E-2</v>
      </c>
      <c r="T24" s="20">
        <v>2024</v>
      </c>
      <c r="U24" s="20">
        <f t="shared" si="0"/>
        <v>5</v>
      </c>
      <c r="V24" t="s">
        <v>249</v>
      </c>
    </row>
    <row r="25" spans="1:23" ht="15" customHeight="1">
      <c r="A25" s="22">
        <v>6</v>
      </c>
      <c r="B25" s="27" t="s">
        <v>75</v>
      </c>
      <c r="C25" s="18">
        <v>120000</v>
      </c>
      <c r="D25" s="68">
        <v>0.3</v>
      </c>
      <c r="E25" s="18">
        <f t="shared" si="1"/>
        <v>84000</v>
      </c>
      <c r="F25" s="18">
        <v>0</v>
      </c>
      <c r="G25" s="18">
        <f t="shared" si="2"/>
        <v>84000</v>
      </c>
      <c r="H25" s="67">
        <f t="shared" si="3"/>
        <v>4</v>
      </c>
      <c r="I25" s="67">
        <f t="shared" si="4"/>
        <v>2.8</v>
      </c>
      <c r="J25" s="67">
        <f t="shared" si="5"/>
        <v>2.3333333333333335</v>
      </c>
      <c r="K25" s="70">
        <v>30</v>
      </c>
      <c r="L25" s="20">
        <v>36000</v>
      </c>
      <c r="M25" s="91">
        <f t="shared" si="6"/>
        <v>0.13698630136986301</v>
      </c>
      <c r="N25" s="91">
        <v>5.0000000000000001E-3</v>
      </c>
      <c r="O25" s="20">
        <v>45000</v>
      </c>
      <c r="P25" s="19">
        <v>13.5</v>
      </c>
      <c r="Q25" s="28">
        <v>2.5000000000000001E-2</v>
      </c>
      <c r="R25" s="101">
        <v>1</v>
      </c>
      <c r="S25" s="28">
        <v>7.4999999999999997E-2</v>
      </c>
      <c r="T25" s="20">
        <v>2024</v>
      </c>
      <c r="U25" s="20">
        <f t="shared" si="0"/>
        <v>6</v>
      </c>
      <c r="V25" t="s">
        <v>250</v>
      </c>
    </row>
    <row r="26" spans="1:23" ht="15" customHeight="1">
      <c r="A26" s="22">
        <v>7</v>
      </c>
      <c r="B26" s="27" t="s">
        <v>248</v>
      </c>
      <c r="C26" s="18">
        <v>30000</v>
      </c>
      <c r="D26" s="68">
        <v>0.3</v>
      </c>
      <c r="E26" s="18">
        <f t="shared" si="1"/>
        <v>21000</v>
      </c>
      <c r="F26" s="18">
        <v>0</v>
      </c>
      <c r="G26" s="18">
        <f t="shared" si="2"/>
        <v>21000</v>
      </c>
      <c r="H26" s="67">
        <f t="shared" si="3"/>
        <v>4.225352112676056</v>
      </c>
      <c r="I26" s="67">
        <f t="shared" si="4"/>
        <v>2.9577464788732395</v>
      </c>
      <c r="J26" s="67">
        <f t="shared" si="5"/>
        <v>2.8767123287671232</v>
      </c>
      <c r="K26" s="70">
        <v>7.1</v>
      </c>
      <c r="L26" s="20">
        <v>7300</v>
      </c>
      <c r="M26" s="91">
        <f t="shared" si="6"/>
        <v>0.11737089201877934</v>
      </c>
      <c r="N26" s="91">
        <v>2.5000000000000001E-3</v>
      </c>
      <c r="O26" s="20">
        <v>7300</v>
      </c>
      <c r="P26" s="19">
        <v>15</v>
      </c>
      <c r="Q26" s="28">
        <v>0.04</v>
      </c>
      <c r="R26" s="101">
        <v>1</v>
      </c>
      <c r="S26" s="28">
        <v>0</v>
      </c>
      <c r="T26" s="20">
        <v>2025</v>
      </c>
      <c r="U26" s="20">
        <f t="shared" si="0"/>
        <v>7</v>
      </c>
      <c r="V26" t="s">
        <v>252</v>
      </c>
    </row>
    <row r="27" spans="1:23" ht="15" customHeight="1">
      <c r="A27" s="22">
        <v>8</v>
      </c>
      <c r="B27" s="27" t="s">
        <v>79</v>
      </c>
      <c r="C27" s="18">
        <v>20113</v>
      </c>
      <c r="D27" s="68">
        <v>0.26</v>
      </c>
      <c r="E27" s="18">
        <f t="shared" si="1"/>
        <v>14883.619999999999</v>
      </c>
      <c r="F27" s="18">
        <v>0</v>
      </c>
      <c r="G27" s="18">
        <f t="shared" si="2"/>
        <v>14883.619999999999</v>
      </c>
      <c r="H27" s="67">
        <f t="shared" si="3"/>
        <v>3.0199699699699698</v>
      </c>
      <c r="I27" s="67">
        <f t="shared" si="4"/>
        <v>2.2347777777777775</v>
      </c>
      <c r="J27" s="67">
        <f t="shared" si="5"/>
        <v>2.7229454811562386</v>
      </c>
      <c r="K27" s="70">
        <v>6.66</v>
      </c>
      <c r="L27" s="20">
        <v>5466</v>
      </c>
      <c r="M27" s="91">
        <f t="shared" si="6"/>
        <v>9.3689579990949859E-2</v>
      </c>
      <c r="N27" s="91">
        <v>5.0000000000000001E-3</v>
      </c>
      <c r="O27" s="20">
        <v>5466</v>
      </c>
      <c r="P27" s="19">
        <v>20</v>
      </c>
      <c r="Q27" s="28">
        <v>0.03</v>
      </c>
      <c r="R27" s="101">
        <v>1</v>
      </c>
      <c r="S27" s="28">
        <v>0.03</v>
      </c>
      <c r="T27" s="20">
        <v>2022</v>
      </c>
      <c r="U27" s="20">
        <f t="shared" si="0"/>
        <v>8</v>
      </c>
      <c r="V27" t="s">
        <v>92</v>
      </c>
    </row>
    <row r="28" spans="1:23" ht="15" customHeight="1">
      <c r="A28" s="22">
        <v>9</v>
      </c>
      <c r="B28" s="27" t="s">
        <v>69</v>
      </c>
      <c r="C28" s="18"/>
      <c r="D28" s="69"/>
      <c r="E28" s="18">
        <f t="shared" si="1"/>
        <v>0</v>
      </c>
      <c r="F28" s="18"/>
      <c r="G28" s="18">
        <f t="shared" si="2"/>
        <v>0</v>
      </c>
      <c r="H28" s="67">
        <f>IF(K28=0,0,(C28+F28)/(1000*K28))</f>
        <v>0</v>
      </c>
      <c r="I28" s="67">
        <f>IF(K28=0,0,G28/(1000*K28))</f>
        <v>0</v>
      </c>
      <c r="J28" s="67">
        <f>IF(L28=0,0,G28/L28)</f>
        <v>0</v>
      </c>
      <c r="K28" s="70"/>
      <c r="L28" s="20"/>
      <c r="M28" s="91">
        <f>IF(K28=0,0,L28/(365*24*K28))</f>
        <v>0</v>
      </c>
      <c r="N28" s="91"/>
      <c r="O28" s="20"/>
      <c r="P28" s="19"/>
      <c r="Q28" s="28"/>
      <c r="R28" s="98"/>
      <c r="S28" s="28"/>
      <c r="T28" s="20"/>
      <c r="U28" s="20">
        <f t="shared" si="0"/>
        <v>9</v>
      </c>
      <c r="V28" s="5" t="s">
        <v>103</v>
      </c>
    </row>
    <row r="29" spans="1:23" ht="15" customHeight="1">
      <c r="A29" s="22"/>
      <c r="B29" s="27"/>
      <c r="C29" s="18"/>
      <c r="D29" s="18"/>
      <c r="E29" s="18"/>
      <c r="F29" s="18"/>
      <c r="G29" s="18"/>
      <c r="H29" s="20"/>
      <c r="I29" s="28"/>
      <c r="J29" s="20"/>
      <c r="K29" s="19"/>
      <c r="L29" s="28"/>
      <c r="M29" s="28"/>
      <c r="N29" s="28"/>
      <c r="O29" s="5"/>
    </row>
    <row r="30" spans="1:23" ht="20" customHeight="1">
      <c r="A30" s="36" t="s">
        <v>173</v>
      </c>
    </row>
    <row r="31" spans="1:23" ht="15" customHeight="1">
      <c r="A31" s="43">
        <f>G17</f>
        <v>13152.8</v>
      </c>
      <c r="B31" t="s">
        <v>195</v>
      </c>
    </row>
    <row r="32" spans="1:23" ht="15" customHeight="1">
      <c r="A32" s="29">
        <f>L17</f>
        <v>8850</v>
      </c>
      <c r="B32" t="s">
        <v>83</v>
      </c>
    </row>
    <row r="33" spans="1:27" ht="15" customHeight="1">
      <c r="A33" s="128">
        <f>N17</f>
        <v>5.0000000000000001E-3</v>
      </c>
      <c r="B33" t="s">
        <v>130</v>
      </c>
    </row>
    <row r="34" spans="1:27" ht="15" customHeight="1">
      <c r="A34" s="29">
        <f>O17</f>
        <v>6117</v>
      </c>
      <c r="B34" t="s">
        <v>196</v>
      </c>
    </row>
    <row r="35" spans="1:27" ht="15" customHeight="1">
      <c r="A35" s="37">
        <f>P17</f>
        <v>14.7</v>
      </c>
      <c r="B35" t="s">
        <v>127</v>
      </c>
      <c r="AA35" s="22"/>
    </row>
    <row r="36" spans="1:27" ht="15" customHeight="1">
      <c r="A36" s="102">
        <f>R17</f>
        <v>1</v>
      </c>
      <c r="B36" t="s">
        <v>212</v>
      </c>
    </row>
    <row r="37" spans="1:27" ht="15" customHeight="1">
      <c r="A37" s="44">
        <f>Q17</f>
        <v>2.5000000000000001E-2</v>
      </c>
      <c r="B37" t="s">
        <v>215</v>
      </c>
    </row>
    <row r="38" spans="1:27" ht="15" customHeight="1">
      <c r="A38" s="5"/>
      <c r="C38" t="s">
        <v>38</v>
      </c>
    </row>
    <row r="39" spans="1:27" ht="15" customHeight="1">
      <c r="A39" s="44">
        <f>S17</f>
        <v>7.4999999999999997E-2</v>
      </c>
      <c r="B39" t="s">
        <v>253</v>
      </c>
    </row>
    <row r="40" spans="1:27" ht="15" customHeight="1"/>
    <row r="41" spans="1:27" ht="15" customHeight="1">
      <c r="A41" s="5" t="s">
        <v>89</v>
      </c>
      <c r="K41" s="139" t="s">
        <v>88</v>
      </c>
      <c r="L41" s="139"/>
      <c r="M41" s="10" t="s">
        <v>13</v>
      </c>
      <c r="P41" s="131" t="s">
        <v>201</v>
      </c>
      <c r="Q41" s="131"/>
      <c r="R41" s="131"/>
      <c r="S41" s="131"/>
      <c r="T41" s="131"/>
      <c r="U41" s="131"/>
      <c r="V41" s="131"/>
      <c r="W41" s="131"/>
      <c r="X41" s="131"/>
      <c r="Y41" s="131"/>
      <c r="Z41" s="131"/>
    </row>
    <row r="42" spans="1:27" ht="15" customHeight="1">
      <c r="A42" s="3" t="s">
        <v>44</v>
      </c>
      <c r="B42" s="3" t="s">
        <v>45</v>
      </c>
      <c r="C42" s="3" t="s">
        <v>46</v>
      </c>
      <c r="D42" s="3" t="s">
        <v>47</v>
      </c>
      <c r="E42" s="3" t="s">
        <v>48</v>
      </c>
      <c r="F42" s="3" t="s">
        <v>49</v>
      </c>
      <c r="G42" s="3" t="s">
        <v>50</v>
      </c>
      <c r="H42" s="3" t="s">
        <v>51</v>
      </c>
      <c r="I42" s="3" t="s">
        <v>52</v>
      </c>
      <c r="J42" s="3"/>
      <c r="K42" s="3" t="s">
        <v>44</v>
      </c>
      <c r="L42" s="3" t="s">
        <v>53</v>
      </c>
      <c r="M42" s="3" t="s">
        <v>80</v>
      </c>
      <c r="N42" s="3" t="s">
        <v>44</v>
      </c>
      <c r="P42" s="3" t="s">
        <v>46</v>
      </c>
      <c r="Q42" s="3" t="s">
        <v>204</v>
      </c>
      <c r="R42" s="3" t="s">
        <v>211</v>
      </c>
      <c r="S42" s="3" t="s">
        <v>47</v>
      </c>
      <c r="T42" s="3" t="s">
        <v>204</v>
      </c>
      <c r="U42" s="3" t="s">
        <v>49</v>
      </c>
      <c r="V42" s="3" t="s">
        <v>216</v>
      </c>
      <c r="W42" s="3" t="s">
        <v>51</v>
      </c>
      <c r="X42" s="3" t="s">
        <v>44</v>
      </c>
    </row>
    <row r="43" spans="1:27" ht="15" customHeight="1">
      <c r="A43" s="17">
        <v>1</v>
      </c>
      <c r="B43" s="18">
        <f>$A$31</f>
        <v>13152.8</v>
      </c>
      <c r="C43" s="19">
        <f>IF($A$17=0,P43,$A$35)</f>
        <v>14.7</v>
      </c>
      <c r="D43" s="20">
        <f>IF($A$17=0,S43,$A$32)</f>
        <v>8850</v>
      </c>
      <c r="E43" s="18">
        <f>IF($A$17=0,R43*(C43*D43/100), $A$36*(C43*D43/100))</f>
        <v>1300.95</v>
      </c>
      <c r="F43" s="20">
        <f t="shared" ref="F43:F72" si="7">IF($A$17=0,U43,$A$34)</f>
        <v>6117</v>
      </c>
      <c r="G43" s="18">
        <f t="shared" ref="G43:G72" si="8">MIN(D43,F43)*C43/100</f>
        <v>899.19899999999996</v>
      </c>
      <c r="H43" s="2">
        <f t="shared" ref="H43:H72" si="9">IF($A$17=0,B43*W43,B43*$A$39)</f>
        <v>986.45999999999992</v>
      </c>
      <c r="I43" s="2">
        <f t="shared" ref="I43:I72" si="10">B43-G43+H43</f>
        <v>13240.060999999998</v>
      </c>
      <c r="J43" s="2"/>
      <c r="K43" s="2">
        <f t="shared" ref="K43:K72" si="11">E43-G43</f>
        <v>401.75100000000009</v>
      </c>
      <c r="L43" s="2">
        <f>K43</f>
        <v>401.75100000000009</v>
      </c>
      <c r="M43" s="2">
        <f t="shared" ref="M43:M72" si="12">I43-L43</f>
        <v>12838.309999999998</v>
      </c>
      <c r="N43">
        <f t="shared" ref="N43:N72" si="13">A43</f>
        <v>1</v>
      </c>
      <c r="P43" s="96">
        <f>'Elec &amp; Gas Data'!E47</f>
        <v>14.473072861668427</v>
      </c>
      <c r="Q43" s="97">
        <f>(P43/'Elec &amp; Gas Data'!E67) -1</f>
        <v>8.194334216037702E-2</v>
      </c>
      <c r="R43" s="103">
        <f>'Elec &amp; Gas Data'!F47</f>
        <v>1</v>
      </c>
      <c r="S43" s="22">
        <f>'Elec &amp; Gas Data'!H47</f>
        <v>8460</v>
      </c>
      <c r="T43" s="91" t="s">
        <v>205</v>
      </c>
      <c r="U43" s="22">
        <f>'Elec &amp; Gas Data'!I47</f>
        <v>5682</v>
      </c>
      <c r="V43" s="20" t="s">
        <v>205</v>
      </c>
      <c r="W43" s="97">
        <f>$A$39</f>
        <v>7.4999999999999997E-2</v>
      </c>
      <c r="X43" s="54">
        <v>1</v>
      </c>
      <c r="Y43" s="99" t="s">
        <v>203</v>
      </c>
    </row>
    <row r="44" spans="1:27" ht="15" customHeight="1">
      <c r="A44" s="17">
        <v>2</v>
      </c>
      <c r="B44" s="18">
        <f t="shared" ref="B44:B72" si="14">I43</f>
        <v>13240.060999999998</v>
      </c>
      <c r="C44" s="19">
        <f t="shared" ref="C44:C72" si="15">IF($A$17=0,P44,(C43*(1+$A$37)))</f>
        <v>15.067499999999997</v>
      </c>
      <c r="D44" s="20">
        <f t="shared" ref="D44:D72" si="16">IF($A$17=0,S44,(D43*(1-$A$33)))</f>
        <v>8805.75</v>
      </c>
      <c r="E44" s="18">
        <f t="shared" ref="E44:E72" si="17">IF($A$17=0,R44*(C44*D44/100), $A$36*(C44*D44/100))</f>
        <v>1326.8063812499997</v>
      </c>
      <c r="F44" s="20">
        <f t="shared" si="7"/>
        <v>6117</v>
      </c>
      <c r="G44" s="18">
        <f t="shared" si="8"/>
        <v>921.67897499999981</v>
      </c>
      <c r="H44" s="2">
        <f t="shared" si="9"/>
        <v>993.00457499999982</v>
      </c>
      <c r="I44" s="2">
        <f t="shared" si="10"/>
        <v>13311.386599999998</v>
      </c>
      <c r="J44" s="2"/>
      <c r="K44" s="2">
        <f t="shared" si="11"/>
        <v>405.12740624999992</v>
      </c>
      <c r="L44" s="2">
        <f>L43+K44</f>
        <v>806.87840625000001</v>
      </c>
      <c r="M44" s="2">
        <f t="shared" si="12"/>
        <v>12504.508193749998</v>
      </c>
      <c r="N44">
        <f t="shared" si="13"/>
        <v>2</v>
      </c>
      <c r="P44" s="96">
        <f>P43*(1+$A$37)</f>
        <v>14.834899683210137</v>
      </c>
      <c r="Q44" s="97">
        <f>IF(P43=0,0,(P44/P43) -1)</f>
        <v>2.4999999999999911E-2</v>
      </c>
      <c r="R44" s="103">
        <f t="shared" ref="R44:R72" si="18">$R$43</f>
        <v>1</v>
      </c>
      <c r="S44" s="22">
        <f>S43*(1-$A$33)</f>
        <v>8417.7000000000007</v>
      </c>
      <c r="T44" s="97">
        <f>IF(S43=0,0,(S44/S43) -1)</f>
        <v>-4.9999999999998934E-3</v>
      </c>
      <c r="U44" s="22">
        <f>U43</f>
        <v>5682</v>
      </c>
      <c r="V44" s="103">
        <f>IF(U43=0,0,(U44/U43) -1)</f>
        <v>0</v>
      </c>
      <c r="W44" s="97">
        <f t="shared" ref="W44:W72" si="19">$A$39</f>
        <v>7.4999999999999997E-2</v>
      </c>
      <c r="X44">
        <v>2</v>
      </c>
    </row>
    <row r="45" spans="1:27" ht="15" customHeight="1">
      <c r="A45" s="17">
        <v>3</v>
      </c>
      <c r="B45" s="18">
        <f t="shared" si="14"/>
        <v>13311.386599999998</v>
      </c>
      <c r="C45" s="19">
        <f t="shared" si="15"/>
        <v>15.444187499999996</v>
      </c>
      <c r="D45" s="20">
        <f t="shared" si="16"/>
        <v>8761.7212500000005</v>
      </c>
      <c r="E45" s="18">
        <f t="shared" si="17"/>
        <v>1353.1766580773435</v>
      </c>
      <c r="F45" s="20">
        <f t="shared" si="7"/>
        <v>6117</v>
      </c>
      <c r="G45" s="18">
        <f t="shared" si="8"/>
        <v>944.7209493749998</v>
      </c>
      <c r="H45" s="2">
        <f t="shared" si="9"/>
        <v>998.35399499999983</v>
      </c>
      <c r="I45" s="2">
        <f t="shared" si="10"/>
        <v>13365.019645624998</v>
      </c>
      <c r="J45" s="2"/>
      <c r="K45" s="2">
        <f t="shared" si="11"/>
        <v>408.45570870234371</v>
      </c>
      <c r="L45" s="2">
        <f t="shared" ref="L45:L72" si="20">L44+K45</f>
        <v>1215.3341149523437</v>
      </c>
      <c r="M45" s="2">
        <f t="shared" si="12"/>
        <v>12149.685530672654</v>
      </c>
      <c r="N45">
        <f t="shared" si="13"/>
        <v>3</v>
      </c>
      <c r="P45" s="96">
        <f t="shared" ref="P45:P72" si="21">P44*(1+$A$37)</f>
        <v>15.20577217529039</v>
      </c>
      <c r="Q45" s="97">
        <f t="shared" ref="Q45:Q72" si="22">IF(P44=0,0,(P45/P44) -1)</f>
        <v>2.4999999999999911E-2</v>
      </c>
      <c r="R45" s="103">
        <f t="shared" si="18"/>
        <v>1</v>
      </c>
      <c r="S45" s="22">
        <f t="shared" ref="S45:S72" si="23">S44*(1-$A$33)</f>
        <v>8375.6115000000009</v>
      </c>
      <c r="T45" s="97">
        <f t="shared" ref="T45:T72" si="24">IF(S44=0,0,(S45/S44) -1)</f>
        <v>-5.0000000000000044E-3</v>
      </c>
      <c r="U45" s="22">
        <f t="shared" ref="U45:U72" si="25">U44</f>
        <v>5682</v>
      </c>
      <c r="V45" s="103">
        <f t="shared" ref="V45:V72" si="26">IF(U44=0,0,(U45/U44) -1)</f>
        <v>0</v>
      </c>
      <c r="W45" s="97">
        <f t="shared" si="19"/>
        <v>7.4999999999999997E-2</v>
      </c>
      <c r="X45">
        <v>3</v>
      </c>
    </row>
    <row r="46" spans="1:27" ht="15" customHeight="1">
      <c r="A46" s="17">
        <v>4</v>
      </c>
      <c r="B46" s="18">
        <f t="shared" si="14"/>
        <v>13365.019645624998</v>
      </c>
      <c r="C46" s="19">
        <f t="shared" si="15"/>
        <v>15.830292187499994</v>
      </c>
      <c r="D46" s="20">
        <f t="shared" si="16"/>
        <v>8717.9126437499999</v>
      </c>
      <c r="E46" s="18">
        <f t="shared" si="17"/>
        <v>1380.0710441566305</v>
      </c>
      <c r="F46" s="20">
        <f t="shared" si="7"/>
        <v>6117</v>
      </c>
      <c r="G46" s="18">
        <f t="shared" si="8"/>
        <v>968.33897310937459</v>
      </c>
      <c r="H46" s="2">
        <f t="shared" si="9"/>
        <v>1002.3764734218748</v>
      </c>
      <c r="I46" s="2">
        <f t="shared" si="10"/>
        <v>13399.057145937499</v>
      </c>
      <c r="J46" s="2"/>
      <c r="K46" s="2">
        <f t="shared" si="11"/>
        <v>411.73207104725589</v>
      </c>
      <c r="L46" s="2">
        <f t="shared" si="20"/>
        <v>1627.0661859995996</v>
      </c>
      <c r="M46" s="2">
        <f t="shared" si="12"/>
        <v>11771.990959937899</v>
      </c>
      <c r="N46">
        <f t="shared" si="13"/>
        <v>4</v>
      </c>
      <c r="P46" s="96">
        <f t="shared" si="21"/>
        <v>15.585916479672647</v>
      </c>
      <c r="Q46" s="97">
        <f t="shared" si="22"/>
        <v>2.4999999999999911E-2</v>
      </c>
      <c r="R46" s="103">
        <f t="shared" si="18"/>
        <v>1</v>
      </c>
      <c r="S46" s="22">
        <f t="shared" si="23"/>
        <v>8333.7334425000008</v>
      </c>
      <c r="T46" s="97">
        <f t="shared" si="24"/>
        <v>-5.0000000000000044E-3</v>
      </c>
      <c r="U46" s="22">
        <f t="shared" si="25"/>
        <v>5682</v>
      </c>
      <c r="V46" s="103">
        <f t="shared" si="26"/>
        <v>0</v>
      </c>
      <c r="W46" s="97">
        <f t="shared" si="19"/>
        <v>7.4999999999999997E-2</v>
      </c>
      <c r="X46">
        <v>4</v>
      </c>
    </row>
    <row r="47" spans="1:27" ht="15" customHeight="1">
      <c r="A47" s="17">
        <v>5</v>
      </c>
      <c r="B47" s="18">
        <f t="shared" si="14"/>
        <v>13399.057145937499</v>
      </c>
      <c r="C47" s="19">
        <f t="shared" si="15"/>
        <v>16.226049492187492</v>
      </c>
      <c r="D47" s="20">
        <f t="shared" si="16"/>
        <v>8674.3230805312505</v>
      </c>
      <c r="E47" s="18">
        <f t="shared" si="17"/>
        <v>1407.4999561592433</v>
      </c>
      <c r="F47" s="20">
        <f t="shared" si="7"/>
        <v>6117</v>
      </c>
      <c r="G47" s="18">
        <f t="shared" si="8"/>
        <v>992.54744743710899</v>
      </c>
      <c r="H47" s="2">
        <f t="shared" si="9"/>
        <v>1004.9292859453124</v>
      </c>
      <c r="I47" s="2">
        <f t="shared" si="10"/>
        <v>13411.438984445702</v>
      </c>
      <c r="J47" s="2"/>
      <c r="K47" s="2">
        <f t="shared" si="11"/>
        <v>414.95250872213433</v>
      </c>
      <c r="L47" s="2">
        <f t="shared" si="20"/>
        <v>2042.0186947217339</v>
      </c>
      <c r="M47" s="2">
        <f t="shared" si="12"/>
        <v>11369.420289723968</v>
      </c>
      <c r="N47">
        <f t="shared" si="13"/>
        <v>5</v>
      </c>
      <c r="P47" s="96">
        <f t="shared" si="21"/>
        <v>15.975564391664463</v>
      </c>
      <c r="Q47" s="97">
        <f t="shared" si="22"/>
        <v>2.4999999999999911E-2</v>
      </c>
      <c r="R47" s="103">
        <f t="shared" si="18"/>
        <v>1</v>
      </c>
      <c r="S47" s="22">
        <f t="shared" si="23"/>
        <v>8292.0647752875011</v>
      </c>
      <c r="T47" s="97">
        <f t="shared" si="24"/>
        <v>-5.0000000000000044E-3</v>
      </c>
      <c r="U47" s="22">
        <f t="shared" si="25"/>
        <v>5682</v>
      </c>
      <c r="V47" s="103">
        <f t="shared" si="26"/>
        <v>0</v>
      </c>
      <c r="W47" s="97">
        <f t="shared" si="19"/>
        <v>7.4999999999999997E-2</v>
      </c>
      <c r="X47">
        <v>5</v>
      </c>
    </row>
    <row r="48" spans="1:27" ht="15" customHeight="1">
      <c r="A48" s="17">
        <v>6</v>
      </c>
      <c r="B48" s="2">
        <f t="shared" si="14"/>
        <v>13411.438984445702</v>
      </c>
      <c r="C48" s="21">
        <f t="shared" si="15"/>
        <v>16.631700729492177</v>
      </c>
      <c r="D48" s="20">
        <f t="shared" si="16"/>
        <v>8630.9514651285936</v>
      </c>
      <c r="E48" s="2">
        <f t="shared" si="17"/>
        <v>1435.474017787908</v>
      </c>
      <c r="F48" s="22">
        <f t="shared" si="7"/>
        <v>6117</v>
      </c>
      <c r="G48" s="18">
        <f t="shared" si="8"/>
        <v>1017.3611336230365</v>
      </c>
      <c r="H48" s="2">
        <f t="shared" si="9"/>
        <v>1005.8579238334275</v>
      </c>
      <c r="I48" s="2">
        <f t="shared" si="10"/>
        <v>13399.935774656093</v>
      </c>
      <c r="J48" s="2"/>
      <c r="K48" s="2">
        <f t="shared" si="11"/>
        <v>418.1128841648715</v>
      </c>
      <c r="L48" s="2">
        <f t="shared" si="20"/>
        <v>2460.1315788866054</v>
      </c>
      <c r="M48" s="2">
        <f t="shared" si="12"/>
        <v>10939.804195769488</v>
      </c>
      <c r="N48">
        <f t="shared" si="13"/>
        <v>6</v>
      </c>
      <c r="P48" s="96">
        <f t="shared" si="21"/>
        <v>16.374953501456073</v>
      </c>
      <c r="Q48" s="97">
        <f t="shared" si="22"/>
        <v>2.4999999999999911E-2</v>
      </c>
      <c r="R48" s="103">
        <f t="shared" si="18"/>
        <v>1</v>
      </c>
      <c r="S48" s="22">
        <f t="shared" si="23"/>
        <v>8250.6044514110636</v>
      </c>
      <c r="T48" s="97">
        <f t="shared" si="24"/>
        <v>-5.0000000000000044E-3</v>
      </c>
      <c r="U48" s="22">
        <f t="shared" si="25"/>
        <v>5682</v>
      </c>
      <c r="V48" s="103">
        <f t="shared" si="26"/>
        <v>0</v>
      </c>
      <c r="W48" s="97">
        <f t="shared" si="19"/>
        <v>7.4999999999999997E-2</v>
      </c>
      <c r="X48">
        <v>6</v>
      </c>
    </row>
    <row r="49" spans="1:24" ht="15" customHeight="1">
      <c r="A49" s="17">
        <v>7</v>
      </c>
      <c r="B49" s="2">
        <f t="shared" si="14"/>
        <v>13399.935774656093</v>
      </c>
      <c r="C49" s="21">
        <f t="shared" si="15"/>
        <v>17.047493247729481</v>
      </c>
      <c r="D49" s="20">
        <f t="shared" si="16"/>
        <v>8587.7967078029506</v>
      </c>
      <c r="E49" s="2">
        <f t="shared" si="17"/>
        <v>1464.0040638914425</v>
      </c>
      <c r="F49" s="22">
        <f t="shared" si="7"/>
        <v>6117</v>
      </c>
      <c r="G49" s="18">
        <f t="shared" si="8"/>
        <v>1042.7951619636124</v>
      </c>
      <c r="H49" s="2">
        <f t="shared" si="9"/>
        <v>1004.9951830992069</v>
      </c>
      <c r="I49" s="2">
        <f t="shared" si="10"/>
        <v>13362.135795791688</v>
      </c>
      <c r="J49" s="2"/>
      <c r="K49" s="2">
        <f t="shared" si="11"/>
        <v>421.20890192783008</v>
      </c>
      <c r="L49" s="2">
        <f t="shared" si="20"/>
        <v>2881.3404808144355</v>
      </c>
      <c r="M49" s="2">
        <f t="shared" si="12"/>
        <v>10480.795314977253</v>
      </c>
      <c r="N49">
        <f t="shared" si="13"/>
        <v>7</v>
      </c>
      <c r="P49" s="96">
        <f t="shared" si="21"/>
        <v>16.784327338992473</v>
      </c>
      <c r="Q49" s="97">
        <f t="shared" si="22"/>
        <v>2.4999999999999911E-2</v>
      </c>
      <c r="R49" s="103">
        <f t="shared" si="18"/>
        <v>1</v>
      </c>
      <c r="S49" s="22">
        <f t="shared" si="23"/>
        <v>8209.3514291540087</v>
      </c>
      <c r="T49" s="97">
        <f t="shared" si="24"/>
        <v>-5.0000000000000044E-3</v>
      </c>
      <c r="U49" s="22">
        <f t="shared" si="25"/>
        <v>5682</v>
      </c>
      <c r="V49" s="103">
        <f t="shared" si="26"/>
        <v>0</v>
      </c>
      <c r="W49" s="97">
        <f t="shared" si="19"/>
        <v>7.4999999999999997E-2</v>
      </c>
      <c r="X49">
        <v>7</v>
      </c>
    </row>
    <row r="50" spans="1:24" ht="15" customHeight="1">
      <c r="A50" s="17">
        <v>8</v>
      </c>
      <c r="B50" s="2">
        <f t="shared" si="14"/>
        <v>13362.135795791688</v>
      </c>
      <c r="C50" s="21">
        <f t="shared" si="15"/>
        <v>17.473680578922718</v>
      </c>
      <c r="D50" s="20">
        <f t="shared" si="16"/>
        <v>8544.8577242639349</v>
      </c>
      <c r="E50" s="2">
        <f t="shared" si="17"/>
        <v>1493.1011446612849</v>
      </c>
      <c r="F50" s="22">
        <f t="shared" si="7"/>
        <v>6117</v>
      </c>
      <c r="G50" s="18">
        <f t="shared" si="8"/>
        <v>1068.8650410127025</v>
      </c>
      <c r="H50" s="2">
        <f t="shared" si="9"/>
        <v>1002.1601846843765</v>
      </c>
      <c r="I50" s="2">
        <f t="shared" si="10"/>
        <v>13295.430939463362</v>
      </c>
      <c r="J50" s="2"/>
      <c r="K50" s="2">
        <f t="shared" si="11"/>
        <v>424.23610364858246</v>
      </c>
      <c r="L50" s="2">
        <f t="shared" si="20"/>
        <v>3305.5765844630178</v>
      </c>
      <c r="M50" s="2">
        <f t="shared" si="12"/>
        <v>9989.8543550003451</v>
      </c>
      <c r="N50">
        <f t="shared" si="13"/>
        <v>8</v>
      </c>
      <c r="P50" s="96">
        <f t="shared" si="21"/>
        <v>17.203935522467283</v>
      </c>
      <c r="Q50" s="97">
        <f t="shared" si="22"/>
        <v>2.4999999999999911E-2</v>
      </c>
      <c r="R50" s="103">
        <f t="shared" si="18"/>
        <v>1</v>
      </c>
      <c r="S50" s="22">
        <f t="shared" si="23"/>
        <v>8168.3046720082384</v>
      </c>
      <c r="T50" s="97">
        <f t="shared" si="24"/>
        <v>-5.0000000000000044E-3</v>
      </c>
      <c r="U50" s="22">
        <f t="shared" si="25"/>
        <v>5682</v>
      </c>
      <c r="V50" s="103">
        <f t="shared" si="26"/>
        <v>0</v>
      </c>
      <c r="W50" s="97">
        <f t="shared" si="19"/>
        <v>7.4999999999999997E-2</v>
      </c>
      <c r="X50">
        <v>8</v>
      </c>
    </row>
    <row r="51" spans="1:24" ht="15" customHeight="1">
      <c r="A51" s="17">
        <v>9</v>
      </c>
      <c r="B51" s="2">
        <f t="shared" si="14"/>
        <v>13295.430939463362</v>
      </c>
      <c r="C51" s="21">
        <f t="shared" si="15"/>
        <v>17.910522593395783</v>
      </c>
      <c r="D51" s="20">
        <f t="shared" si="16"/>
        <v>8502.133435642616</v>
      </c>
      <c r="E51" s="2">
        <f t="shared" si="17"/>
        <v>1522.776529911428</v>
      </c>
      <c r="F51" s="22">
        <f t="shared" si="7"/>
        <v>6117</v>
      </c>
      <c r="G51" s="18">
        <f t="shared" si="8"/>
        <v>1095.5866670380199</v>
      </c>
      <c r="H51" s="2">
        <f t="shared" si="9"/>
        <v>997.1573204597521</v>
      </c>
      <c r="I51" s="2">
        <f t="shared" si="10"/>
        <v>13197.001592885093</v>
      </c>
      <c r="J51" s="2"/>
      <c r="K51" s="2">
        <f t="shared" si="11"/>
        <v>427.18986287340817</v>
      </c>
      <c r="L51" s="2">
        <f t="shared" si="20"/>
        <v>3732.7664473364257</v>
      </c>
      <c r="M51" s="2">
        <f t="shared" si="12"/>
        <v>9464.2351455486678</v>
      </c>
      <c r="N51">
        <f t="shared" si="13"/>
        <v>9</v>
      </c>
      <c r="P51" s="96">
        <f t="shared" si="21"/>
        <v>17.634033910528963</v>
      </c>
      <c r="Q51" s="97">
        <f t="shared" si="22"/>
        <v>2.4999999999999911E-2</v>
      </c>
      <c r="R51" s="103">
        <f t="shared" si="18"/>
        <v>1</v>
      </c>
      <c r="S51" s="22">
        <f t="shared" si="23"/>
        <v>8127.4631486481976</v>
      </c>
      <c r="T51" s="97">
        <f t="shared" si="24"/>
        <v>-5.0000000000000044E-3</v>
      </c>
      <c r="U51" s="22">
        <f t="shared" si="25"/>
        <v>5682</v>
      </c>
      <c r="V51" s="103">
        <f t="shared" si="26"/>
        <v>0</v>
      </c>
      <c r="W51" s="97">
        <f t="shared" si="19"/>
        <v>7.4999999999999997E-2</v>
      </c>
      <c r="X51">
        <v>9</v>
      </c>
    </row>
    <row r="52" spans="1:24" ht="15" customHeight="1">
      <c r="A52" s="17">
        <v>10</v>
      </c>
      <c r="B52" s="2">
        <f t="shared" si="14"/>
        <v>13197.001592885093</v>
      </c>
      <c r="C52" s="21">
        <f t="shared" si="15"/>
        <v>18.358285658230674</v>
      </c>
      <c r="D52" s="20">
        <f t="shared" si="16"/>
        <v>8459.6227684644036</v>
      </c>
      <c r="E52" s="2">
        <f t="shared" si="17"/>
        <v>1553.0417134434174</v>
      </c>
      <c r="F52" s="22">
        <f t="shared" si="7"/>
        <v>6117</v>
      </c>
      <c r="G52" s="18">
        <f t="shared" si="8"/>
        <v>1122.9763337139705</v>
      </c>
      <c r="H52" s="2">
        <f t="shared" si="9"/>
        <v>989.77511946638197</v>
      </c>
      <c r="I52" s="2">
        <f t="shared" si="10"/>
        <v>13063.800378637505</v>
      </c>
      <c r="J52" s="2"/>
      <c r="K52" s="2">
        <f t="shared" si="11"/>
        <v>430.06537972944693</v>
      </c>
      <c r="L52" s="2">
        <f t="shared" si="20"/>
        <v>4162.8318270658729</v>
      </c>
      <c r="M52" s="2">
        <f t="shared" si="12"/>
        <v>8900.9685515716319</v>
      </c>
      <c r="N52">
        <f t="shared" si="13"/>
        <v>10</v>
      </c>
      <c r="P52" s="96">
        <f t="shared" si="21"/>
        <v>18.074884758292185</v>
      </c>
      <c r="Q52" s="97">
        <f t="shared" si="22"/>
        <v>2.4999999999999911E-2</v>
      </c>
      <c r="R52" s="103">
        <f t="shared" si="18"/>
        <v>1</v>
      </c>
      <c r="S52" s="22">
        <f t="shared" si="23"/>
        <v>8086.8258329049568</v>
      </c>
      <c r="T52" s="97">
        <f t="shared" si="24"/>
        <v>-5.0000000000000044E-3</v>
      </c>
      <c r="U52" s="22">
        <f t="shared" si="25"/>
        <v>5682</v>
      </c>
      <c r="V52" s="103">
        <f t="shared" si="26"/>
        <v>0</v>
      </c>
      <c r="W52" s="97">
        <f t="shared" si="19"/>
        <v>7.4999999999999997E-2</v>
      </c>
      <c r="X52">
        <v>10</v>
      </c>
    </row>
    <row r="53" spans="1:24" ht="15" customHeight="1">
      <c r="A53" s="17">
        <v>11</v>
      </c>
      <c r="B53" s="2">
        <f t="shared" si="14"/>
        <v>13063.800378637505</v>
      </c>
      <c r="C53" s="21">
        <f t="shared" si="15"/>
        <v>18.81724279968644</v>
      </c>
      <c r="D53" s="20">
        <f t="shared" si="16"/>
        <v>8417.3246546220817</v>
      </c>
      <c r="E53" s="2">
        <f t="shared" si="17"/>
        <v>1583.9084174981053</v>
      </c>
      <c r="F53" s="22">
        <f t="shared" si="7"/>
        <v>6117</v>
      </c>
      <c r="G53" s="18">
        <f t="shared" si="8"/>
        <v>1151.0507420568197</v>
      </c>
      <c r="H53" s="2">
        <f t="shared" si="9"/>
        <v>979.78502839781277</v>
      </c>
      <c r="I53" s="2">
        <f t="shared" si="10"/>
        <v>12892.534664978499</v>
      </c>
      <c r="J53" s="2"/>
      <c r="K53" s="2">
        <f t="shared" si="11"/>
        <v>432.85767544128566</v>
      </c>
      <c r="L53" s="2">
        <f t="shared" si="20"/>
        <v>4595.689502507159</v>
      </c>
      <c r="M53" s="2">
        <f t="shared" si="12"/>
        <v>8296.8451624713398</v>
      </c>
      <c r="N53">
        <f t="shared" si="13"/>
        <v>11</v>
      </c>
      <c r="P53" s="96">
        <f t="shared" si="21"/>
        <v>18.52675687724949</v>
      </c>
      <c r="Q53" s="97">
        <f t="shared" si="22"/>
        <v>2.4999999999999911E-2</v>
      </c>
      <c r="R53" s="103">
        <f t="shared" si="18"/>
        <v>1</v>
      </c>
      <c r="S53" s="22">
        <f t="shared" si="23"/>
        <v>8046.3917037404317</v>
      </c>
      <c r="T53" s="97">
        <f t="shared" si="24"/>
        <v>-5.0000000000000044E-3</v>
      </c>
      <c r="U53" s="22">
        <f t="shared" si="25"/>
        <v>5682</v>
      </c>
      <c r="V53" s="103">
        <f t="shared" si="26"/>
        <v>0</v>
      </c>
      <c r="W53" s="97">
        <f t="shared" si="19"/>
        <v>7.4999999999999997E-2</v>
      </c>
      <c r="X53">
        <v>11</v>
      </c>
    </row>
    <row r="54" spans="1:24" ht="15" customHeight="1">
      <c r="A54" s="17">
        <v>12</v>
      </c>
      <c r="B54" s="2">
        <f t="shared" si="14"/>
        <v>12892.534664978499</v>
      </c>
      <c r="C54" s="21">
        <f t="shared" si="15"/>
        <v>19.287673869678599</v>
      </c>
      <c r="D54" s="20">
        <f t="shared" si="16"/>
        <v>8375.2380313489721</v>
      </c>
      <c r="E54" s="2">
        <f t="shared" si="17"/>
        <v>1615.3885972958801</v>
      </c>
      <c r="F54" s="22">
        <f t="shared" si="7"/>
        <v>6117</v>
      </c>
      <c r="G54" s="18">
        <f t="shared" si="8"/>
        <v>1179.82701060824</v>
      </c>
      <c r="H54" s="2">
        <f t="shared" si="9"/>
        <v>966.94009987338734</v>
      </c>
      <c r="I54" s="2">
        <f t="shared" si="10"/>
        <v>12679.647754243646</v>
      </c>
      <c r="J54" s="2"/>
      <c r="K54" s="2">
        <f t="shared" si="11"/>
        <v>435.5615866876401</v>
      </c>
      <c r="L54" s="2">
        <f t="shared" si="20"/>
        <v>5031.2510891947986</v>
      </c>
      <c r="M54" s="2">
        <f t="shared" si="12"/>
        <v>7648.3966650488474</v>
      </c>
      <c r="N54">
        <f t="shared" si="13"/>
        <v>12</v>
      </c>
      <c r="P54" s="96">
        <f t="shared" si="21"/>
        <v>18.989925799180725</v>
      </c>
      <c r="Q54" s="97">
        <f t="shared" si="22"/>
        <v>2.4999999999999911E-2</v>
      </c>
      <c r="R54" s="103">
        <f t="shared" si="18"/>
        <v>1</v>
      </c>
      <c r="S54" s="22">
        <f t="shared" si="23"/>
        <v>8006.1597452217293</v>
      </c>
      <c r="T54" s="97">
        <f t="shared" si="24"/>
        <v>-5.0000000000000044E-3</v>
      </c>
      <c r="U54" s="22">
        <f t="shared" si="25"/>
        <v>5682</v>
      </c>
      <c r="V54" s="103">
        <f t="shared" si="26"/>
        <v>0</v>
      </c>
      <c r="W54" s="97">
        <f t="shared" si="19"/>
        <v>7.4999999999999997E-2</v>
      </c>
      <c r="X54">
        <v>12</v>
      </c>
    </row>
    <row r="55" spans="1:24" ht="15" customHeight="1">
      <c r="A55" s="17">
        <v>13</v>
      </c>
      <c r="B55" s="2">
        <f t="shared" si="14"/>
        <v>12679.647754243646</v>
      </c>
      <c r="C55" s="21">
        <f t="shared" si="15"/>
        <v>19.769865716420561</v>
      </c>
      <c r="D55" s="20">
        <f t="shared" si="16"/>
        <v>8333.3618411922271</v>
      </c>
      <c r="E55" s="2">
        <f t="shared" si="17"/>
        <v>1647.4944456671353</v>
      </c>
      <c r="F55" s="22">
        <f t="shared" si="7"/>
        <v>6117</v>
      </c>
      <c r="G55" s="18">
        <f t="shared" si="8"/>
        <v>1209.3226858734458</v>
      </c>
      <c r="H55" s="2">
        <f t="shared" si="9"/>
        <v>950.9735815682734</v>
      </c>
      <c r="I55" s="2">
        <f t="shared" si="10"/>
        <v>12421.298649938475</v>
      </c>
      <c r="J55" s="2"/>
      <c r="K55" s="2">
        <f t="shared" si="11"/>
        <v>438.17175979368949</v>
      </c>
      <c r="L55" s="2">
        <f t="shared" si="20"/>
        <v>5469.4228489884881</v>
      </c>
      <c r="M55" s="2">
        <f t="shared" si="12"/>
        <v>6951.875800949987</v>
      </c>
      <c r="N55">
        <f t="shared" si="13"/>
        <v>13</v>
      </c>
      <c r="P55" s="96">
        <f t="shared" si="21"/>
        <v>19.464673944160243</v>
      </c>
      <c r="Q55" s="97">
        <f t="shared" si="22"/>
        <v>2.4999999999999911E-2</v>
      </c>
      <c r="R55" s="103">
        <f t="shared" si="18"/>
        <v>1</v>
      </c>
      <c r="S55" s="22">
        <f t="shared" si="23"/>
        <v>7966.1289464956208</v>
      </c>
      <c r="T55" s="97">
        <f t="shared" si="24"/>
        <v>-5.0000000000000044E-3</v>
      </c>
      <c r="U55" s="22">
        <f t="shared" si="25"/>
        <v>5682</v>
      </c>
      <c r="V55" s="103">
        <f t="shared" si="26"/>
        <v>0</v>
      </c>
      <c r="W55" s="97">
        <f t="shared" si="19"/>
        <v>7.4999999999999997E-2</v>
      </c>
      <c r="X55">
        <v>13</v>
      </c>
    </row>
    <row r="56" spans="1:24" ht="15" customHeight="1">
      <c r="A56" s="17">
        <v>14</v>
      </c>
      <c r="B56" s="2">
        <f t="shared" si="14"/>
        <v>12421.298649938475</v>
      </c>
      <c r="C56" s="21">
        <f t="shared" si="15"/>
        <v>20.264112359331072</v>
      </c>
      <c r="D56" s="20">
        <f t="shared" si="16"/>
        <v>8291.6950319862663</v>
      </c>
      <c r="E56" s="2">
        <f t="shared" si="17"/>
        <v>1680.2383977747695</v>
      </c>
      <c r="F56" s="22">
        <f t="shared" si="7"/>
        <v>6117</v>
      </c>
      <c r="G56" s="18">
        <f t="shared" si="8"/>
        <v>1239.5557530202816</v>
      </c>
      <c r="H56" s="2">
        <f t="shared" si="9"/>
        <v>931.59739874538559</v>
      </c>
      <c r="I56" s="2">
        <f t="shared" si="10"/>
        <v>12113.340295663578</v>
      </c>
      <c r="J56" s="2"/>
      <c r="K56" s="2">
        <f t="shared" si="11"/>
        <v>440.68264475448791</v>
      </c>
      <c r="L56" s="2">
        <f t="shared" si="20"/>
        <v>5910.1054937429763</v>
      </c>
      <c r="M56" s="2">
        <f t="shared" si="12"/>
        <v>6203.234801920602</v>
      </c>
      <c r="N56">
        <f t="shared" si="13"/>
        <v>14</v>
      </c>
      <c r="P56" s="96">
        <f t="shared" si="21"/>
        <v>19.951290792764247</v>
      </c>
      <c r="Q56" s="97">
        <f t="shared" si="22"/>
        <v>2.4999999999999911E-2</v>
      </c>
      <c r="R56" s="103">
        <f t="shared" si="18"/>
        <v>1</v>
      </c>
      <c r="S56" s="22">
        <f t="shared" si="23"/>
        <v>7926.2983017631423</v>
      </c>
      <c r="T56" s="97">
        <f t="shared" si="24"/>
        <v>-5.0000000000000044E-3</v>
      </c>
      <c r="U56" s="22">
        <f t="shared" si="25"/>
        <v>5682</v>
      </c>
      <c r="V56" s="103">
        <f t="shared" si="26"/>
        <v>0</v>
      </c>
      <c r="W56" s="97">
        <f t="shared" si="19"/>
        <v>7.4999999999999997E-2</v>
      </c>
      <c r="X56">
        <v>14</v>
      </c>
    </row>
    <row r="57" spans="1:24" ht="15" customHeight="1">
      <c r="A57" s="17">
        <v>15</v>
      </c>
      <c r="B57" s="2">
        <f t="shared" si="14"/>
        <v>12113.340295663578</v>
      </c>
      <c r="C57" s="21">
        <f t="shared" si="15"/>
        <v>20.770715168314346</v>
      </c>
      <c r="D57" s="20">
        <f t="shared" si="16"/>
        <v>8250.236556826334</v>
      </c>
      <c r="E57" s="2">
        <f t="shared" si="17"/>
        <v>1713.6331359305425</v>
      </c>
      <c r="F57" s="22">
        <f t="shared" si="7"/>
        <v>6117</v>
      </c>
      <c r="G57" s="18">
        <f t="shared" si="8"/>
        <v>1270.5446468457885</v>
      </c>
      <c r="H57" s="2">
        <f t="shared" si="9"/>
        <v>908.50052217476832</v>
      </c>
      <c r="I57" s="2">
        <f t="shared" si="10"/>
        <v>11751.296170992558</v>
      </c>
      <c r="J57" s="2"/>
      <c r="K57" s="2">
        <f t="shared" si="11"/>
        <v>443.08848908475397</v>
      </c>
      <c r="L57" s="2">
        <f t="shared" si="20"/>
        <v>6353.19398282773</v>
      </c>
      <c r="M57" s="2">
        <f t="shared" si="12"/>
        <v>5398.1021881648285</v>
      </c>
      <c r="N57">
        <f t="shared" si="13"/>
        <v>15</v>
      </c>
      <c r="P57" s="96">
        <f t="shared" si="21"/>
        <v>20.450073062583353</v>
      </c>
      <c r="Q57" s="97">
        <f t="shared" si="22"/>
        <v>2.4999999999999911E-2</v>
      </c>
      <c r="R57" s="103">
        <f t="shared" si="18"/>
        <v>1</v>
      </c>
      <c r="S57" s="22">
        <f t="shared" si="23"/>
        <v>7886.6668102543263</v>
      </c>
      <c r="T57" s="97">
        <f t="shared" si="24"/>
        <v>-5.0000000000000044E-3</v>
      </c>
      <c r="U57" s="22">
        <f t="shared" si="25"/>
        <v>5682</v>
      </c>
      <c r="V57" s="103">
        <f t="shared" si="26"/>
        <v>0</v>
      </c>
      <c r="W57" s="97">
        <f t="shared" si="19"/>
        <v>7.4999999999999997E-2</v>
      </c>
      <c r="X57">
        <v>15</v>
      </c>
    </row>
    <row r="58" spans="1:24" ht="15" customHeight="1">
      <c r="A58" s="17">
        <v>16</v>
      </c>
      <c r="B58" s="2">
        <f t="shared" si="14"/>
        <v>11751.296170992558</v>
      </c>
      <c r="C58" s="21">
        <f t="shared" si="15"/>
        <v>21.289983047522202</v>
      </c>
      <c r="D58" s="20">
        <f t="shared" si="16"/>
        <v>8208.9853740422022</v>
      </c>
      <c r="E58" s="2">
        <f t="shared" si="17"/>
        <v>1747.6915945071619</v>
      </c>
      <c r="F58" s="22">
        <f t="shared" si="7"/>
        <v>6117</v>
      </c>
      <c r="G58" s="18">
        <f t="shared" si="8"/>
        <v>1302.3082630169331</v>
      </c>
      <c r="H58" s="2">
        <f t="shared" si="9"/>
        <v>881.34721282444184</v>
      </c>
      <c r="I58" s="2">
        <f t="shared" si="10"/>
        <v>11330.335120800066</v>
      </c>
      <c r="J58" s="2"/>
      <c r="K58" s="2">
        <f t="shared" si="11"/>
        <v>445.38333149022878</v>
      </c>
      <c r="L58" s="2">
        <f t="shared" si="20"/>
        <v>6798.5773143179586</v>
      </c>
      <c r="M58" s="2">
        <f t="shared" si="12"/>
        <v>4531.7578064821073</v>
      </c>
      <c r="N58">
        <f t="shared" si="13"/>
        <v>16</v>
      </c>
      <c r="P58" s="96">
        <f t="shared" si="21"/>
        <v>20.961324889147935</v>
      </c>
      <c r="Q58" s="97">
        <f t="shared" si="22"/>
        <v>2.4999999999999911E-2</v>
      </c>
      <c r="R58" s="103">
        <f t="shared" si="18"/>
        <v>1</v>
      </c>
      <c r="S58" s="22">
        <f t="shared" si="23"/>
        <v>7847.233476203055</v>
      </c>
      <c r="T58" s="97">
        <f t="shared" si="24"/>
        <v>-5.0000000000000044E-3</v>
      </c>
      <c r="U58" s="22">
        <f t="shared" si="25"/>
        <v>5682</v>
      </c>
      <c r="V58" s="103">
        <f t="shared" si="26"/>
        <v>0</v>
      </c>
      <c r="W58" s="97">
        <f t="shared" si="19"/>
        <v>7.4999999999999997E-2</v>
      </c>
      <c r="X58">
        <v>16</v>
      </c>
    </row>
    <row r="59" spans="1:24" ht="15" customHeight="1">
      <c r="A59" s="17">
        <v>17</v>
      </c>
      <c r="B59" s="2">
        <f t="shared" si="14"/>
        <v>11330.335120800066</v>
      </c>
      <c r="C59" s="21">
        <f t="shared" si="15"/>
        <v>21.822232623710256</v>
      </c>
      <c r="D59" s="20">
        <f t="shared" si="16"/>
        <v>8167.9404471719909</v>
      </c>
      <c r="E59" s="2">
        <f t="shared" si="17"/>
        <v>1782.4269649479916</v>
      </c>
      <c r="F59" s="22">
        <f t="shared" si="7"/>
        <v>6117</v>
      </c>
      <c r="G59" s="18">
        <f t="shared" si="8"/>
        <v>1334.8659695923564</v>
      </c>
      <c r="H59" s="2">
        <f t="shared" si="9"/>
        <v>849.77513406000492</v>
      </c>
      <c r="I59" s="2">
        <f t="shared" si="10"/>
        <v>10845.244285267714</v>
      </c>
      <c r="J59" s="2"/>
      <c r="K59" s="2">
        <f t="shared" si="11"/>
        <v>447.56099535563521</v>
      </c>
      <c r="L59" s="2">
        <f t="shared" si="20"/>
        <v>7246.1383096735935</v>
      </c>
      <c r="M59" s="2">
        <f t="shared" si="12"/>
        <v>3599.1059755941205</v>
      </c>
      <c r="N59">
        <f t="shared" si="13"/>
        <v>17</v>
      </c>
      <c r="P59" s="96">
        <f t="shared" si="21"/>
        <v>21.485358011376633</v>
      </c>
      <c r="Q59" s="97">
        <f t="shared" si="22"/>
        <v>2.4999999999999911E-2</v>
      </c>
      <c r="R59" s="103">
        <f t="shared" si="18"/>
        <v>1</v>
      </c>
      <c r="S59" s="22">
        <f t="shared" si="23"/>
        <v>7807.9973088220395</v>
      </c>
      <c r="T59" s="97">
        <f t="shared" si="24"/>
        <v>-5.0000000000000044E-3</v>
      </c>
      <c r="U59" s="22">
        <f t="shared" si="25"/>
        <v>5682</v>
      </c>
      <c r="V59" s="103">
        <f t="shared" si="26"/>
        <v>0</v>
      </c>
      <c r="W59" s="97">
        <f t="shared" si="19"/>
        <v>7.4999999999999997E-2</v>
      </c>
      <c r="X59">
        <v>17</v>
      </c>
    </row>
    <row r="60" spans="1:24" ht="15" customHeight="1">
      <c r="A60" s="17">
        <v>18</v>
      </c>
      <c r="B60" s="2">
        <f t="shared" si="14"/>
        <v>10845.244285267714</v>
      </c>
      <c r="C60" s="21">
        <f t="shared" si="15"/>
        <v>22.367788439303013</v>
      </c>
      <c r="D60" s="20">
        <f t="shared" si="16"/>
        <v>8127.1007449361305</v>
      </c>
      <c r="E60" s="2">
        <f t="shared" si="17"/>
        <v>1817.8527008763328</v>
      </c>
      <c r="F60" s="22">
        <f t="shared" si="7"/>
        <v>6117</v>
      </c>
      <c r="G60" s="18">
        <f t="shared" si="8"/>
        <v>1368.2376188321653</v>
      </c>
      <c r="H60" s="2">
        <f t="shared" si="9"/>
        <v>813.39332139507849</v>
      </c>
      <c r="I60" s="2">
        <f t="shared" si="10"/>
        <v>10290.399987830628</v>
      </c>
      <c r="J60" s="2"/>
      <c r="K60" s="2">
        <f t="shared" si="11"/>
        <v>449.61508204416759</v>
      </c>
      <c r="L60" s="2">
        <f t="shared" si="20"/>
        <v>7695.7533917177607</v>
      </c>
      <c r="M60" s="2">
        <f t="shared" si="12"/>
        <v>2594.646596112867</v>
      </c>
      <c r="N60">
        <f t="shared" si="13"/>
        <v>18</v>
      </c>
      <c r="P60" s="96">
        <f t="shared" si="21"/>
        <v>22.022491961661046</v>
      </c>
      <c r="Q60" s="97">
        <f t="shared" si="22"/>
        <v>2.4999999999999911E-2</v>
      </c>
      <c r="R60" s="103">
        <f t="shared" si="18"/>
        <v>1</v>
      </c>
      <c r="S60" s="22">
        <f t="shared" si="23"/>
        <v>7768.9573222779291</v>
      </c>
      <c r="T60" s="97">
        <f t="shared" si="24"/>
        <v>-5.0000000000000044E-3</v>
      </c>
      <c r="U60" s="22">
        <f t="shared" si="25"/>
        <v>5682</v>
      </c>
      <c r="V60" s="103">
        <f t="shared" si="26"/>
        <v>0</v>
      </c>
      <c r="W60" s="97">
        <f t="shared" si="19"/>
        <v>7.4999999999999997E-2</v>
      </c>
      <c r="X60">
        <v>18</v>
      </c>
    </row>
    <row r="61" spans="1:24" ht="15" customHeight="1">
      <c r="A61" s="17">
        <v>19</v>
      </c>
      <c r="B61" s="2">
        <f t="shared" si="14"/>
        <v>10290.399987830628</v>
      </c>
      <c r="C61" s="21">
        <f t="shared" si="15"/>
        <v>22.926983150285587</v>
      </c>
      <c r="D61" s="20">
        <f t="shared" si="16"/>
        <v>8086.4652412114501</v>
      </c>
      <c r="E61" s="2">
        <f t="shared" si="17"/>
        <v>1853.98252330625</v>
      </c>
      <c r="F61" s="22">
        <f t="shared" si="7"/>
        <v>6117</v>
      </c>
      <c r="G61" s="18">
        <f t="shared" si="8"/>
        <v>1402.4435593029693</v>
      </c>
      <c r="H61" s="2">
        <f t="shared" si="9"/>
        <v>771.77999908729703</v>
      </c>
      <c r="I61" s="2">
        <f t="shared" si="10"/>
        <v>9659.7364276149547</v>
      </c>
      <c r="J61" s="2"/>
      <c r="K61" s="2">
        <f t="shared" si="11"/>
        <v>451.53896400328063</v>
      </c>
      <c r="L61" s="2">
        <f t="shared" si="20"/>
        <v>8147.2923557210415</v>
      </c>
      <c r="M61" s="2">
        <f t="shared" si="12"/>
        <v>1512.4440718939131</v>
      </c>
      <c r="N61">
        <f t="shared" si="13"/>
        <v>19</v>
      </c>
      <c r="P61" s="96">
        <f t="shared" si="21"/>
        <v>22.57305426070257</v>
      </c>
      <c r="Q61" s="97">
        <f t="shared" si="22"/>
        <v>2.4999999999999911E-2</v>
      </c>
      <c r="R61" s="103">
        <f t="shared" si="18"/>
        <v>1</v>
      </c>
      <c r="S61" s="22">
        <f t="shared" si="23"/>
        <v>7730.1125356665398</v>
      </c>
      <c r="T61" s="97">
        <f t="shared" si="24"/>
        <v>-5.0000000000000044E-3</v>
      </c>
      <c r="U61" s="22">
        <f t="shared" si="25"/>
        <v>5682</v>
      </c>
      <c r="V61" s="103">
        <f t="shared" si="26"/>
        <v>0</v>
      </c>
      <c r="W61" s="97">
        <f t="shared" si="19"/>
        <v>7.4999999999999997E-2</v>
      </c>
      <c r="X61">
        <v>19</v>
      </c>
    </row>
    <row r="62" spans="1:24" ht="15" customHeight="1">
      <c r="A62" s="17">
        <v>20</v>
      </c>
      <c r="B62" s="2">
        <f t="shared" si="14"/>
        <v>9659.7364276149547</v>
      </c>
      <c r="C62" s="21">
        <f t="shared" si="15"/>
        <v>23.500157729042723</v>
      </c>
      <c r="D62" s="20">
        <f t="shared" si="16"/>
        <v>8046.0329150053931</v>
      </c>
      <c r="E62" s="2">
        <f t="shared" si="17"/>
        <v>1890.8304259569613</v>
      </c>
      <c r="F62" s="22">
        <f t="shared" si="7"/>
        <v>6117</v>
      </c>
      <c r="G62" s="18">
        <f t="shared" si="8"/>
        <v>1437.5046482855435</v>
      </c>
      <c r="H62" s="2">
        <f t="shared" si="9"/>
        <v>724.48023207112158</v>
      </c>
      <c r="I62" s="2">
        <f t="shared" si="10"/>
        <v>8946.7120114005338</v>
      </c>
      <c r="J62" s="2"/>
      <c r="K62" s="2">
        <f t="shared" si="11"/>
        <v>453.32577767141788</v>
      </c>
      <c r="L62" s="2">
        <f t="shared" si="20"/>
        <v>8600.6181333924596</v>
      </c>
      <c r="M62" s="2">
        <f t="shared" si="12"/>
        <v>346.09387800807417</v>
      </c>
      <c r="N62">
        <f t="shared" si="13"/>
        <v>20</v>
      </c>
      <c r="P62" s="96">
        <f t="shared" si="21"/>
        <v>23.137380617220131</v>
      </c>
      <c r="Q62" s="97">
        <f t="shared" si="22"/>
        <v>2.4999999999999911E-2</v>
      </c>
      <c r="R62" s="103">
        <f t="shared" si="18"/>
        <v>1</v>
      </c>
      <c r="S62" s="22">
        <f t="shared" si="23"/>
        <v>7691.461972988207</v>
      </c>
      <c r="T62" s="97">
        <f t="shared" si="24"/>
        <v>-5.0000000000000044E-3</v>
      </c>
      <c r="U62" s="22">
        <f t="shared" si="25"/>
        <v>5682</v>
      </c>
      <c r="V62" s="103">
        <f t="shared" si="26"/>
        <v>0</v>
      </c>
      <c r="W62" s="97">
        <f t="shared" si="19"/>
        <v>7.4999999999999997E-2</v>
      </c>
      <c r="X62">
        <v>20</v>
      </c>
    </row>
    <row r="63" spans="1:24" ht="15" customHeight="1">
      <c r="A63" s="17">
        <v>21</v>
      </c>
      <c r="B63" s="2">
        <f t="shared" si="14"/>
        <v>8946.7120114005338</v>
      </c>
      <c r="C63" s="21">
        <f t="shared" si="15"/>
        <v>24.087661672268787</v>
      </c>
      <c r="D63" s="20">
        <f t="shared" si="16"/>
        <v>8005.8027504303664</v>
      </c>
      <c r="E63" s="2">
        <f t="shared" si="17"/>
        <v>1928.4106806728557</v>
      </c>
      <c r="F63" s="22">
        <f t="shared" si="7"/>
        <v>6117</v>
      </c>
      <c r="G63" s="18">
        <f t="shared" si="8"/>
        <v>1473.4422644926817</v>
      </c>
      <c r="H63" s="2">
        <f t="shared" si="9"/>
        <v>671.00340085504001</v>
      </c>
      <c r="I63" s="2">
        <f t="shared" si="10"/>
        <v>8144.2731477628922</v>
      </c>
      <c r="J63" s="2"/>
      <c r="K63" s="2">
        <f t="shared" si="11"/>
        <v>454.96841618017402</v>
      </c>
      <c r="L63" s="2">
        <f t="shared" si="20"/>
        <v>9055.5865495726339</v>
      </c>
      <c r="M63" s="2">
        <f t="shared" si="12"/>
        <v>-911.31340180974166</v>
      </c>
      <c r="N63">
        <f t="shared" si="13"/>
        <v>21</v>
      </c>
      <c r="P63" s="96">
        <f t="shared" si="21"/>
        <v>23.715815132650633</v>
      </c>
      <c r="Q63" s="97">
        <f t="shared" si="22"/>
        <v>2.4999999999999911E-2</v>
      </c>
      <c r="R63" s="103">
        <f t="shared" si="18"/>
        <v>1</v>
      </c>
      <c r="S63" s="22">
        <f t="shared" si="23"/>
        <v>7653.0046631232663</v>
      </c>
      <c r="T63" s="97">
        <f t="shared" si="24"/>
        <v>-5.0000000000000044E-3</v>
      </c>
      <c r="U63" s="22">
        <f t="shared" si="25"/>
        <v>5682</v>
      </c>
      <c r="V63" s="103">
        <f t="shared" si="26"/>
        <v>0</v>
      </c>
      <c r="W63" s="97">
        <f t="shared" si="19"/>
        <v>7.4999999999999997E-2</v>
      </c>
      <c r="X63">
        <v>21</v>
      </c>
    </row>
    <row r="64" spans="1:24" ht="15" customHeight="1">
      <c r="A64" s="17">
        <v>22</v>
      </c>
      <c r="B64" s="2">
        <f t="shared" si="14"/>
        <v>8144.2731477628922</v>
      </c>
      <c r="C64" s="21">
        <f t="shared" si="15"/>
        <v>24.689853214075505</v>
      </c>
      <c r="D64" s="20">
        <f t="shared" si="16"/>
        <v>7965.7737366782148</v>
      </c>
      <c r="E64" s="2">
        <f t="shared" si="17"/>
        <v>1966.7378429512287</v>
      </c>
      <c r="F64" s="22">
        <f t="shared" si="7"/>
        <v>6117</v>
      </c>
      <c r="G64" s="18">
        <f t="shared" si="8"/>
        <v>1510.2783211049987</v>
      </c>
      <c r="H64" s="2">
        <f t="shared" si="9"/>
        <v>610.82048608221692</v>
      </c>
      <c r="I64" s="2">
        <f t="shared" si="10"/>
        <v>7244.815312740111</v>
      </c>
      <c r="J64" s="2"/>
      <c r="K64" s="2">
        <f t="shared" si="11"/>
        <v>456.45952184623002</v>
      </c>
      <c r="L64" s="2">
        <f t="shared" si="20"/>
        <v>9512.046071418863</v>
      </c>
      <c r="M64" s="2">
        <f t="shared" si="12"/>
        <v>-2267.230758678752</v>
      </c>
      <c r="N64">
        <f t="shared" si="13"/>
        <v>22</v>
      </c>
      <c r="P64" s="96">
        <f t="shared" si="21"/>
        <v>24.308710510966897</v>
      </c>
      <c r="Q64" s="97">
        <f t="shared" si="22"/>
        <v>2.4999999999999911E-2</v>
      </c>
      <c r="R64" s="103">
        <f t="shared" si="18"/>
        <v>1</v>
      </c>
      <c r="S64" s="22">
        <f t="shared" si="23"/>
        <v>7614.7396398076498</v>
      </c>
      <c r="T64" s="97">
        <f t="shared" si="24"/>
        <v>-5.0000000000000044E-3</v>
      </c>
      <c r="U64" s="22">
        <f t="shared" si="25"/>
        <v>5682</v>
      </c>
      <c r="V64" s="103">
        <f t="shared" si="26"/>
        <v>0</v>
      </c>
      <c r="W64" s="97">
        <f t="shared" si="19"/>
        <v>7.4999999999999997E-2</v>
      </c>
      <c r="X64">
        <v>22</v>
      </c>
    </row>
    <row r="65" spans="1:24" ht="15" customHeight="1">
      <c r="A65" s="17">
        <v>23</v>
      </c>
      <c r="B65" s="2">
        <f t="shared" si="14"/>
        <v>7244.815312740111</v>
      </c>
      <c r="C65" s="21">
        <f t="shared" si="15"/>
        <v>25.307099544427391</v>
      </c>
      <c r="D65" s="20">
        <f t="shared" si="16"/>
        <v>7925.9448679948237</v>
      </c>
      <c r="E65" s="2">
        <f t="shared" si="17"/>
        <v>2005.8267575798841</v>
      </c>
      <c r="F65" s="22">
        <f t="shared" si="7"/>
        <v>6117</v>
      </c>
      <c r="G65" s="18">
        <f t="shared" si="8"/>
        <v>1548.0352791326234</v>
      </c>
      <c r="H65" s="2">
        <f t="shared" si="9"/>
        <v>543.36114845550833</v>
      </c>
      <c r="I65" s="2">
        <f t="shared" si="10"/>
        <v>6240.1411820629964</v>
      </c>
      <c r="J65" s="2"/>
      <c r="K65" s="2">
        <f t="shared" si="11"/>
        <v>457.79147844726072</v>
      </c>
      <c r="L65" s="2">
        <f t="shared" si="20"/>
        <v>9969.8375498661244</v>
      </c>
      <c r="M65" s="2">
        <f t="shared" si="12"/>
        <v>-3729.6963678031279</v>
      </c>
      <c r="N65">
        <f t="shared" si="13"/>
        <v>23</v>
      </c>
      <c r="P65" s="96">
        <f t="shared" si="21"/>
        <v>24.916428273741069</v>
      </c>
      <c r="Q65" s="97">
        <f t="shared" si="22"/>
        <v>2.4999999999999911E-2</v>
      </c>
      <c r="R65" s="103">
        <f t="shared" si="18"/>
        <v>1</v>
      </c>
      <c r="S65" s="22">
        <f t="shared" si="23"/>
        <v>7576.6659416086113</v>
      </c>
      <c r="T65" s="97">
        <f t="shared" si="24"/>
        <v>-5.0000000000000044E-3</v>
      </c>
      <c r="U65" s="22">
        <f t="shared" si="25"/>
        <v>5682</v>
      </c>
      <c r="V65" s="103">
        <f t="shared" si="26"/>
        <v>0</v>
      </c>
      <c r="W65" s="97">
        <f t="shared" si="19"/>
        <v>7.4999999999999997E-2</v>
      </c>
      <c r="X65">
        <v>23</v>
      </c>
    </row>
    <row r="66" spans="1:24" ht="15" customHeight="1">
      <c r="A66" s="17">
        <v>24</v>
      </c>
      <c r="B66" s="2">
        <f t="shared" si="14"/>
        <v>6240.1411820629964</v>
      </c>
      <c r="C66" s="21">
        <f t="shared" si="15"/>
        <v>25.939777033038073</v>
      </c>
      <c r="D66" s="20">
        <f t="shared" si="16"/>
        <v>7886.3151436548496</v>
      </c>
      <c r="E66" s="2">
        <f t="shared" si="17"/>
        <v>2045.6925643867842</v>
      </c>
      <c r="F66" s="22">
        <f t="shared" si="7"/>
        <v>6117</v>
      </c>
      <c r="G66" s="18">
        <f t="shared" si="8"/>
        <v>1586.7361611109391</v>
      </c>
      <c r="H66" s="2">
        <f t="shared" si="9"/>
        <v>468.0105886547247</v>
      </c>
      <c r="I66" s="2">
        <f t="shared" si="10"/>
        <v>5121.4156096067818</v>
      </c>
      <c r="J66" s="2"/>
      <c r="K66" s="2">
        <f t="shared" si="11"/>
        <v>458.9564032758451</v>
      </c>
      <c r="L66" s="2">
        <f t="shared" si="20"/>
        <v>10428.793953141969</v>
      </c>
      <c r="M66" s="2">
        <f t="shared" si="12"/>
        <v>-5307.378343535187</v>
      </c>
      <c r="N66">
        <f t="shared" si="13"/>
        <v>24</v>
      </c>
      <c r="P66" s="96">
        <f t="shared" si="21"/>
        <v>25.539338980584592</v>
      </c>
      <c r="Q66" s="97">
        <f t="shared" si="22"/>
        <v>2.4999999999999911E-2</v>
      </c>
      <c r="R66" s="103">
        <f t="shared" si="18"/>
        <v>1</v>
      </c>
      <c r="S66" s="22">
        <f t="shared" si="23"/>
        <v>7538.7826119005686</v>
      </c>
      <c r="T66" s="97">
        <f t="shared" si="24"/>
        <v>-5.0000000000000044E-3</v>
      </c>
      <c r="U66" s="22">
        <f t="shared" si="25"/>
        <v>5682</v>
      </c>
      <c r="V66" s="103">
        <f t="shared" si="26"/>
        <v>0</v>
      </c>
      <c r="W66" s="97">
        <f t="shared" si="19"/>
        <v>7.4999999999999997E-2</v>
      </c>
      <c r="X66">
        <v>24</v>
      </c>
    </row>
    <row r="67" spans="1:24" ht="15" customHeight="1">
      <c r="A67" s="17">
        <v>25</v>
      </c>
      <c r="B67" s="2">
        <f t="shared" si="14"/>
        <v>5121.4156096067818</v>
      </c>
      <c r="C67" s="21">
        <f t="shared" si="15"/>
        <v>26.588271458864021</v>
      </c>
      <c r="D67" s="20">
        <f t="shared" si="16"/>
        <v>7846.8835679365757</v>
      </c>
      <c r="E67" s="2">
        <f t="shared" si="17"/>
        <v>2086.3507041039716</v>
      </c>
      <c r="F67" s="22">
        <f t="shared" si="7"/>
        <v>6117</v>
      </c>
      <c r="G67" s="18">
        <f t="shared" si="8"/>
        <v>1626.4045651387121</v>
      </c>
      <c r="H67" s="2">
        <f t="shared" si="9"/>
        <v>384.1061707205086</v>
      </c>
      <c r="I67" s="2">
        <f t="shared" si="10"/>
        <v>3879.117215188578</v>
      </c>
      <c r="J67" s="2"/>
      <c r="K67" s="2">
        <f t="shared" si="11"/>
        <v>459.94613896525948</v>
      </c>
      <c r="L67" s="2">
        <f t="shared" si="20"/>
        <v>10888.740092107228</v>
      </c>
      <c r="M67" s="2">
        <f t="shared" si="12"/>
        <v>-7009.6228769186491</v>
      </c>
      <c r="N67">
        <f t="shared" si="13"/>
        <v>25</v>
      </c>
      <c r="P67" s="96">
        <f t="shared" si="21"/>
        <v>26.177822455099204</v>
      </c>
      <c r="Q67" s="97">
        <f t="shared" si="22"/>
        <v>2.4999999999999911E-2</v>
      </c>
      <c r="R67" s="103">
        <f t="shared" si="18"/>
        <v>1</v>
      </c>
      <c r="S67" s="22">
        <f t="shared" si="23"/>
        <v>7501.0886988410657</v>
      </c>
      <c r="T67" s="97">
        <f t="shared" si="24"/>
        <v>-5.0000000000000044E-3</v>
      </c>
      <c r="U67" s="22">
        <f t="shared" si="25"/>
        <v>5682</v>
      </c>
      <c r="V67" s="103">
        <f t="shared" si="26"/>
        <v>0</v>
      </c>
      <c r="W67" s="97">
        <f t="shared" si="19"/>
        <v>7.4999999999999997E-2</v>
      </c>
      <c r="X67">
        <v>25</v>
      </c>
    </row>
    <row r="68" spans="1:24" ht="15" customHeight="1">
      <c r="A68" s="17">
        <v>26</v>
      </c>
      <c r="B68" s="2">
        <f t="shared" si="14"/>
        <v>3879.117215188578</v>
      </c>
      <c r="C68" s="21">
        <f t="shared" si="15"/>
        <v>27.252978245335619</v>
      </c>
      <c r="D68" s="20">
        <f t="shared" si="16"/>
        <v>7807.6491500968932</v>
      </c>
      <c r="E68" s="2">
        <f t="shared" si="17"/>
        <v>2127.8169243480374</v>
      </c>
      <c r="F68" s="22">
        <f t="shared" si="7"/>
        <v>6117</v>
      </c>
      <c r="G68" s="18">
        <f t="shared" si="8"/>
        <v>1667.0646792671798</v>
      </c>
      <c r="H68" s="2">
        <f t="shared" si="9"/>
        <v>290.93379113914335</v>
      </c>
      <c r="I68" s="2">
        <f t="shared" si="10"/>
        <v>2502.9863270605415</v>
      </c>
      <c r="J68" s="2"/>
      <c r="K68" s="2">
        <f t="shared" si="11"/>
        <v>460.75224508085762</v>
      </c>
      <c r="L68" s="2">
        <f t="shared" si="20"/>
        <v>11349.492337188085</v>
      </c>
      <c r="M68" s="2">
        <f t="shared" si="12"/>
        <v>-8846.506010127543</v>
      </c>
      <c r="N68">
        <f t="shared" si="13"/>
        <v>26</v>
      </c>
      <c r="P68" s="96">
        <f t="shared" si="21"/>
        <v>26.832268016476682</v>
      </c>
      <c r="Q68" s="97">
        <f t="shared" si="22"/>
        <v>2.4999999999999911E-2</v>
      </c>
      <c r="R68" s="103">
        <f t="shared" si="18"/>
        <v>1</v>
      </c>
      <c r="S68" s="22">
        <f t="shared" si="23"/>
        <v>7463.5832553468599</v>
      </c>
      <c r="T68" s="97">
        <f t="shared" si="24"/>
        <v>-5.0000000000001155E-3</v>
      </c>
      <c r="U68" s="22">
        <f t="shared" si="25"/>
        <v>5682</v>
      </c>
      <c r="V68" s="103">
        <f t="shared" si="26"/>
        <v>0</v>
      </c>
      <c r="W68" s="97">
        <f t="shared" si="19"/>
        <v>7.4999999999999997E-2</v>
      </c>
      <c r="X68">
        <v>26</v>
      </c>
    </row>
    <row r="69" spans="1:24" ht="15" customHeight="1">
      <c r="A69" s="17">
        <v>27</v>
      </c>
      <c r="B69" s="2">
        <f t="shared" si="14"/>
        <v>2502.9863270605415</v>
      </c>
      <c r="C69" s="21">
        <f t="shared" si="15"/>
        <v>27.934302701469008</v>
      </c>
      <c r="D69" s="20">
        <f t="shared" si="16"/>
        <v>7768.6109043464085</v>
      </c>
      <c r="E69" s="2">
        <f t="shared" si="17"/>
        <v>2170.1072857194549</v>
      </c>
      <c r="F69" s="22">
        <f t="shared" si="7"/>
        <v>6117</v>
      </c>
      <c r="G69" s="18">
        <f t="shared" si="8"/>
        <v>1708.741296248859</v>
      </c>
      <c r="H69" s="2">
        <f t="shared" si="9"/>
        <v>187.72397452954061</v>
      </c>
      <c r="I69" s="2">
        <f t="shared" si="10"/>
        <v>981.96900534122301</v>
      </c>
      <c r="J69" s="2"/>
      <c r="K69" s="2">
        <f t="shared" si="11"/>
        <v>461.36598947059588</v>
      </c>
      <c r="L69" s="2">
        <f t="shared" si="20"/>
        <v>11810.858326658681</v>
      </c>
      <c r="M69" s="2">
        <f t="shared" si="12"/>
        <v>-10828.889321317458</v>
      </c>
      <c r="N69">
        <f t="shared" si="13"/>
        <v>27</v>
      </c>
      <c r="P69" s="96">
        <f t="shared" si="21"/>
        <v>27.503074716888598</v>
      </c>
      <c r="Q69" s="97">
        <f t="shared" si="22"/>
        <v>2.4999999999999911E-2</v>
      </c>
      <c r="R69" s="103">
        <f t="shared" si="18"/>
        <v>1</v>
      </c>
      <c r="S69" s="22">
        <f t="shared" si="23"/>
        <v>7426.2653390701253</v>
      </c>
      <c r="T69" s="97">
        <f t="shared" si="24"/>
        <v>-5.0000000000000044E-3</v>
      </c>
      <c r="U69" s="22">
        <f t="shared" si="25"/>
        <v>5682</v>
      </c>
      <c r="V69" s="103">
        <f t="shared" si="26"/>
        <v>0</v>
      </c>
      <c r="W69" s="97">
        <f t="shared" si="19"/>
        <v>7.4999999999999997E-2</v>
      </c>
      <c r="X69">
        <v>27</v>
      </c>
    </row>
    <row r="70" spans="1:24" ht="15" customHeight="1">
      <c r="A70" s="17">
        <v>28</v>
      </c>
      <c r="B70" s="2">
        <f t="shared" si="14"/>
        <v>981.96900534122301</v>
      </c>
      <c r="C70" s="21">
        <f t="shared" si="15"/>
        <v>28.632660269005729</v>
      </c>
      <c r="D70" s="20">
        <f t="shared" si="16"/>
        <v>7729.767849824676</v>
      </c>
      <c r="E70" s="2">
        <f t="shared" si="17"/>
        <v>2213.2381680231283</v>
      </c>
      <c r="F70" s="22">
        <f t="shared" si="7"/>
        <v>6117</v>
      </c>
      <c r="G70" s="18">
        <f t="shared" si="8"/>
        <v>1751.4598286550804</v>
      </c>
      <c r="H70" s="2">
        <f t="shared" si="9"/>
        <v>73.647675400591723</v>
      </c>
      <c r="I70" s="2">
        <f t="shared" si="10"/>
        <v>-695.84314791326562</v>
      </c>
      <c r="J70" s="2"/>
      <c r="K70" s="2">
        <f t="shared" si="11"/>
        <v>461.77833936804791</v>
      </c>
      <c r="L70" s="2">
        <f t="shared" si="20"/>
        <v>12272.636666026729</v>
      </c>
      <c r="M70" s="2">
        <f t="shared" si="12"/>
        <v>-12968.479813939994</v>
      </c>
      <c r="N70">
        <f t="shared" si="13"/>
        <v>28</v>
      </c>
      <c r="P70" s="96">
        <f t="shared" si="21"/>
        <v>28.190651584810812</v>
      </c>
      <c r="Q70" s="97">
        <f t="shared" si="22"/>
        <v>2.4999999999999911E-2</v>
      </c>
      <c r="R70" s="103">
        <f t="shared" si="18"/>
        <v>1</v>
      </c>
      <c r="S70" s="22">
        <f t="shared" si="23"/>
        <v>7389.134012374775</v>
      </c>
      <c r="T70" s="97">
        <f t="shared" si="24"/>
        <v>-5.0000000000000044E-3</v>
      </c>
      <c r="U70" s="22">
        <f t="shared" si="25"/>
        <v>5682</v>
      </c>
      <c r="V70" s="103">
        <f t="shared" si="26"/>
        <v>0</v>
      </c>
      <c r="W70" s="97">
        <f t="shared" si="19"/>
        <v>7.4999999999999997E-2</v>
      </c>
      <c r="X70">
        <v>28</v>
      </c>
    </row>
    <row r="71" spans="1:24" ht="15" customHeight="1">
      <c r="A71" s="17">
        <v>29</v>
      </c>
      <c r="B71" s="2">
        <f t="shared" si="14"/>
        <v>-695.84314791326562</v>
      </c>
      <c r="C71" s="21">
        <f t="shared" si="15"/>
        <v>29.34847677573087</v>
      </c>
      <c r="D71" s="20">
        <f t="shared" si="16"/>
        <v>7691.1190105755522</v>
      </c>
      <c r="E71" s="2">
        <f t="shared" si="17"/>
        <v>2257.2262766125878</v>
      </c>
      <c r="F71" s="22">
        <f t="shared" si="7"/>
        <v>6117</v>
      </c>
      <c r="G71" s="18">
        <f t="shared" si="8"/>
        <v>1795.2463243714571</v>
      </c>
      <c r="H71" s="2">
        <f t="shared" si="9"/>
        <v>-52.188236093494922</v>
      </c>
      <c r="I71" s="2">
        <f t="shared" si="10"/>
        <v>-2543.277708378218</v>
      </c>
      <c r="J71" s="2"/>
      <c r="K71" s="2">
        <f t="shared" si="11"/>
        <v>461.9799522411306</v>
      </c>
      <c r="L71" s="2">
        <f t="shared" si="20"/>
        <v>12734.616618267859</v>
      </c>
      <c r="M71" s="2">
        <f t="shared" si="12"/>
        <v>-15277.894326646077</v>
      </c>
      <c r="N71">
        <f t="shared" si="13"/>
        <v>29</v>
      </c>
      <c r="P71" s="96">
        <f t="shared" si="21"/>
        <v>28.895417874431079</v>
      </c>
      <c r="Q71" s="97">
        <f t="shared" si="22"/>
        <v>2.4999999999999911E-2</v>
      </c>
      <c r="R71" s="103">
        <f t="shared" si="18"/>
        <v>1</v>
      </c>
      <c r="S71" s="22">
        <f t="shared" si="23"/>
        <v>7352.1883423129011</v>
      </c>
      <c r="T71" s="97">
        <f t="shared" si="24"/>
        <v>-5.0000000000000044E-3</v>
      </c>
      <c r="U71" s="22">
        <f t="shared" si="25"/>
        <v>5682</v>
      </c>
      <c r="V71" s="103">
        <f t="shared" si="26"/>
        <v>0</v>
      </c>
      <c r="W71" s="97">
        <f t="shared" si="19"/>
        <v>7.4999999999999997E-2</v>
      </c>
      <c r="X71">
        <v>29</v>
      </c>
    </row>
    <row r="72" spans="1:24" ht="15" customHeight="1">
      <c r="A72" s="17">
        <v>30</v>
      </c>
      <c r="B72" s="2">
        <f t="shared" si="14"/>
        <v>-2543.277708378218</v>
      </c>
      <c r="C72" s="21">
        <f t="shared" si="15"/>
        <v>30.082188695124138</v>
      </c>
      <c r="D72" s="20">
        <f t="shared" si="16"/>
        <v>7652.6634155226748</v>
      </c>
      <c r="E72" s="2">
        <f t="shared" si="17"/>
        <v>2302.0886488602628</v>
      </c>
      <c r="F72" s="22">
        <f t="shared" si="7"/>
        <v>6117</v>
      </c>
      <c r="G72" s="18">
        <f t="shared" si="8"/>
        <v>1840.1274824807435</v>
      </c>
      <c r="H72" s="2">
        <f t="shared" si="9"/>
        <v>-190.74582812836636</v>
      </c>
      <c r="I72" s="2">
        <f t="shared" si="10"/>
        <v>-4574.1510189873279</v>
      </c>
      <c r="J72" s="2"/>
      <c r="K72" s="2">
        <f t="shared" si="11"/>
        <v>461.96116637951923</v>
      </c>
      <c r="L72" s="2">
        <f t="shared" si="20"/>
        <v>13196.577784647377</v>
      </c>
      <c r="M72" s="2">
        <f t="shared" si="12"/>
        <v>-17770.728803634705</v>
      </c>
      <c r="N72">
        <f t="shared" si="13"/>
        <v>30</v>
      </c>
      <c r="P72" s="96">
        <f t="shared" si="21"/>
        <v>29.617803321291852</v>
      </c>
      <c r="Q72" s="97">
        <f t="shared" si="22"/>
        <v>2.4999999999999911E-2</v>
      </c>
      <c r="R72" s="103">
        <f t="shared" si="18"/>
        <v>1</v>
      </c>
      <c r="S72" s="22">
        <f t="shared" si="23"/>
        <v>7315.4274006013366</v>
      </c>
      <c r="T72" s="97">
        <f t="shared" si="24"/>
        <v>-5.0000000000000044E-3</v>
      </c>
      <c r="U72" s="22">
        <f t="shared" si="25"/>
        <v>5682</v>
      </c>
      <c r="V72" s="103">
        <f t="shared" si="26"/>
        <v>0</v>
      </c>
      <c r="W72" s="97">
        <f t="shared" si="19"/>
        <v>7.4999999999999997E-2</v>
      </c>
      <c r="X72">
        <v>30</v>
      </c>
    </row>
    <row r="73" spans="1:24" ht="15" customHeight="1">
      <c r="A73" s="17"/>
      <c r="B73" s="32"/>
      <c r="G73" s="37" t="s">
        <v>76</v>
      </c>
      <c r="H73" s="29"/>
      <c r="J73" s="38"/>
      <c r="L73" s="39"/>
      <c r="M73" s="4" t="s">
        <v>54</v>
      </c>
      <c r="N73" s="32"/>
      <c r="P73" s="2"/>
      <c r="Q73" s="89"/>
      <c r="R73" s="5"/>
      <c r="T73" s="97"/>
    </row>
    <row r="74" spans="1:24" ht="15" customHeight="1">
      <c r="A74" s="48" t="s">
        <v>124</v>
      </c>
      <c r="B74" s="32"/>
      <c r="G74" s="37"/>
      <c r="H74" s="29"/>
      <c r="J74" s="38"/>
      <c r="L74" s="39"/>
      <c r="M74" s="4"/>
      <c r="N74" s="32"/>
      <c r="P74" s="2"/>
      <c r="Q74" s="4"/>
      <c r="R74" s="5"/>
    </row>
    <row r="75" spans="1:24" ht="15" customHeight="1">
      <c r="A75" t="s">
        <v>244</v>
      </c>
      <c r="B75" s="32"/>
      <c r="G75" s="37"/>
      <c r="H75" s="29"/>
      <c r="J75" s="38"/>
      <c r="L75" s="39"/>
      <c r="M75" s="4"/>
      <c r="N75" s="32"/>
      <c r="P75" s="2"/>
      <c r="Q75" s="4"/>
      <c r="R75" s="5"/>
    </row>
    <row r="76" spans="1:24" ht="15" customHeight="1">
      <c r="A76" t="s">
        <v>197</v>
      </c>
      <c r="B76" s="32"/>
      <c r="G76" s="37"/>
      <c r="H76" s="29"/>
      <c r="J76" s="38"/>
      <c r="L76" s="39"/>
      <c r="M76" s="4"/>
      <c r="N76" s="32"/>
      <c r="P76" s="2"/>
      <c r="Q76" s="4"/>
      <c r="R76" s="5"/>
    </row>
    <row r="77" spans="1:24" ht="15" customHeight="1">
      <c r="A77" s="48"/>
      <c r="B77" s="32"/>
      <c r="G77" s="37"/>
      <c r="H77" s="29"/>
      <c r="J77" s="38"/>
      <c r="L77" s="39"/>
      <c r="M77" s="4"/>
      <c r="N77" s="32"/>
      <c r="P77" s="2"/>
      <c r="Q77" s="4"/>
      <c r="R77" s="5"/>
    </row>
    <row r="78" spans="1:24" ht="15" customHeight="1">
      <c r="A78" s="15" t="s">
        <v>199</v>
      </c>
      <c r="B78" s="32"/>
      <c r="G78" s="37"/>
      <c r="H78" s="29"/>
      <c r="J78" s="38"/>
      <c r="L78" s="39"/>
      <c r="M78" s="4"/>
      <c r="N78" s="32"/>
      <c r="P78" s="2"/>
      <c r="Q78" s="4"/>
      <c r="R78" s="5"/>
    </row>
    <row r="79" spans="1:24" ht="15" customHeight="1">
      <c r="B79" s="32"/>
      <c r="G79" s="37"/>
      <c r="H79" s="29"/>
      <c r="J79" s="38"/>
      <c r="L79" s="39"/>
      <c r="M79" s="4"/>
      <c r="N79" s="32"/>
      <c r="P79" s="2"/>
      <c r="Q79" s="4"/>
      <c r="R79" s="5"/>
    </row>
    <row r="80" spans="1:24" ht="15" customHeight="1">
      <c r="A80" t="s">
        <v>198</v>
      </c>
      <c r="B80" s="32"/>
      <c r="G80" s="37"/>
      <c r="H80" s="29"/>
      <c r="J80" s="38"/>
      <c r="L80" s="39"/>
      <c r="M80" s="4"/>
      <c r="N80" s="32"/>
      <c r="P80" s="2"/>
      <c r="Q80" s="4"/>
      <c r="R80" s="5"/>
    </row>
    <row r="81" spans="1:18" ht="15" customHeight="1">
      <c r="A81" s="17"/>
      <c r="B81" s="32"/>
      <c r="G81" s="37"/>
      <c r="H81" s="29"/>
      <c r="J81" s="38"/>
      <c r="L81" s="39"/>
      <c r="M81" s="4"/>
      <c r="N81" s="32"/>
      <c r="P81" s="2"/>
      <c r="Q81" s="4"/>
      <c r="R81" s="5"/>
    </row>
    <row r="82" spans="1:18" ht="15" customHeight="1">
      <c r="A82" s="17"/>
      <c r="B82" s="32"/>
      <c r="C82" s="37"/>
      <c r="D82" s="37"/>
      <c r="E82" s="37"/>
      <c r="F82" s="37"/>
      <c r="G82" s="37"/>
      <c r="H82" s="29"/>
      <c r="I82" s="38"/>
      <c r="J82" s="38"/>
      <c r="K82" s="39"/>
      <c r="L82" s="39"/>
      <c r="M82" s="32"/>
      <c r="N82" s="32"/>
      <c r="P82" s="2"/>
      <c r="Q82" s="18"/>
    </row>
    <row r="83" spans="1:18" ht="15" customHeight="1">
      <c r="A83" s="24" t="s">
        <v>57</v>
      </c>
      <c r="H83" s="16"/>
    </row>
    <row r="84" spans="1:18" ht="15" customHeight="1">
      <c r="A84" t="s">
        <v>96</v>
      </c>
    </row>
    <row r="85" spans="1:18" ht="15" customHeight="1">
      <c r="A85" t="s">
        <v>97</v>
      </c>
    </row>
    <row r="86" spans="1:18" ht="15" customHeight="1">
      <c r="A86" t="s">
        <v>98</v>
      </c>
    </row>
    <row r="87" spans="1:18" ht="15" customHeight="1">
      <c r="A87" t="s">
        <v>214</v>
      </c>
    </row>
    <row r="88" spans="1:18" ht="15" customHeight="1">
      <c r="A88" t="s">
        <v>93</v>
      </c>
    </row>
    <row r="89" spans="1:18" ht="15" customHeight="1">
      <c r="A89" t="s">
        <v>95</v>
      </c>
    </row>
    <row r="90" spans="1:18" ht="15" customHeight="1">
      <c r="A90" t="s">
        <v>94</v>
      </c>
    </row>
    <row r="91" spans="1:18" ht="15" customHeight="1">
      <c r="A91" t="s">
        <v>81</v>
      </c>
    </row>
    <row r="92" spans="1:18" ht="15" customHeight="1">
      <c r="A92" t="s">
        <v>78</v>
      </c>
    </row>
    <row r="93" spans="1:18" ht="15" customHeight="1">
      <c r="B93" t="s">
        <v>99</v>
      </c>
    </row>
    <row r="94" spans="1:18" ht="15" customHeight="1">
      <c r="A94" t="s">
        <v>100</v>
      </c>
    </row>
    <row r="95" spans="1:18" ht="15" customHeight="1"/>
    <row r="96" spans="1:18" ht="15" customHeight="1"/>
    <row r="97" spans="1:3" ht="15" customHeight="1">
      <c r="A97" s="5" t="s">
        <v>39</v>
      </c>
    </row>
    <row r="98" spans="1:3" ht="15" customHeight="1">
      <c r="B98" t="s">
        <v>40</v>
      </c>
    </row>
    <row r="99" spans="1:3" ht="15" customHeight="1">
      <c r="B99" t="s">
        <v>41</v>
      </c>
    </row>
    <row r="100" spans="1:3" ht="15" customHeight="1">
      <c r="B100" t="s">
        <v>77</v>
      </c>
    </row>
    <row r="101" spans="1:3" ht="15" customHeight="1">
      <c r="B101" s="9" t="s">
        <v>60</v>
      </c>
    </row>
    <row r="102" spans="1:3" ht="15" customHeight="1">
      <c r="B102" s="9"/>
      <c r="C102" t="s">
        <v>36</v>
      </c>
    </row>
    <row r="103" spans="1:3" ht="15" customHeight="1">
      <c r="B103" t="s">
        <v>37</v>
      </c>
    </row>
    <row r="104" spans="1:3" ht="15" customHeight="1">
      <c r="A104" t="s">
        <v>42</v>
      </c>
    </row>
    <row r="105" spans="1:3" ht="15" customHeight="1">
      <c r="A105" t="s">
        <v>43</v>
      </c>
    </row>
    <row r="106" spans="1:3" ht="15" customHeight="1"/>
    <row r="107" spans="1:3" ht="15" customHeight="1"/>
    <row r="108" spans="1:3" ht="15" customHeight="1"/>
    <row r="109" spans="1:3" ht="15" customHeight="1"/>
    <row r="110" spans="1:3" ht="15" customHeight="1"/>
    <row r="111" spans="1:3" ht="15" customHeight="1"/>
    <row r="112" spans="1:3" ht="15" customHeight="1"/>
    <row r="113" ht="15" customHeight="1"/>
    <row r="114" ht="15" customHeight="1"/>
  </sheetData>
  <mergeCells count="4">
    <mergeCell ref="K41:L41"/>
    <mergeCell ref="C15:G15"/>
    <mergeCell ref="H15:I15"/>
    <mergeCell ref="P41:Z41"/>
  </mergeCells>
  <conditionalFormatting sqref="M43:M72">
    <cfRule type="cellIs" dxfId="1" priority="1" operator="lessThan">
      <formula>0</formula>
    </cfRule>
    <cfRule type="cellIs" dxfId="0" priority="2" operator="lessThan">
      <formula>0</formula>
    </cfRule>
  </conditionalFormatting>
  <pageMargins left="0.7" right="0.7" top="0.75" bottom="0.75" header="0.3" footer="0.3"/>
  <pageSetup orientation="portrait" horizontalDpi="4294967293" verticalDpi="4294967293" r:id="rId1"/>
  <ignoredErrors>
    <ignoredError sqref="S44 S45:S72 U44:U7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Pred Prod</vt:lpstr>
      <vt:lpstr>Elec &amp; Gas Data</vt:lpstr>
      <vt:lpstr>Prod &amp; Usage Graphs</vt:lpstr>
      <vt:lpstr>Utility Graphs</vt:lpstr>
      <vt:lpstr>Annual Graphs</vt:lpstr>
      <vt:lpstr>Cost &amp; Payback</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2024-12-11T20:45:11Z</dcterms:modified>
</cp:coreProperties>
</file>