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10" windowWidth="14810" windowHeight="8010"/>
  </bookViews>
  <sheets>
    <sheet name="INTRO" sheetId="5" r:id="rId1"/>
    <sheet name="Pred Prod" sheetId="2" r:id="rId2"/>
    <sheet name="Elec &amp; Gas Data" sheetId="4" r:id="rId3"/>
    <sheet name="Prod &amp; Usage Graphs" sheetId="1" r:id="rId4"/>
    <sheet name="Utility Graphs" sheetId="8" r:id="rId5"/>
    <sheet name="Annual Graphs" sheetId="9" r:id="rId6"/>
    <sheet name="Cost &amp; Payback" sheetId="3" r:id="rId7"/>
  </sheets>
  <calcPr calcId="125725"/>
</workbook>
</file>

<file path=xl/calcChain.xml><?xml version="1.0" encoding="utf-8"?>
<calcChain xmlns="http://schemas.openxmlformats.org/spreadsheetml/2006/main">
  <c r="K46" i="2"/>
  <c r="K45"/>
  <c r="K44"/>
  <c r="K43"/>
  <c r="K42"/>
  <c r="K41"/>
  <c r="K40"/>
  <c r="K39"/>
  <c r="K38"/>
  <c r="K37"/>
  <c r="K36"/>
  <c r="K35"/>
  <c r="K34"/>
  <c r="J46"/>
  <c r="J45"/>
  <c r="J44"/>
  <c r="J43"/>
  <c r="J42"/>
  <c r="J41"/>
  <c r="J40"/>
  <c r="J39"/>
  <c r="J38"/>
  <c r="J37"/>
  <c r="J36"/>
  <c r="J35"/>
  <c r="J34"/>
  <c r="I46"/>
  <c r="I45"/>
  <c r="I44"/>
  <c r="I43"/>
  <c r="I42"/>
  <c r="I41"/>
  <c r="I40"/>
  <c r="I39"/>
  <c r="I38"/>
  <c r="I37"/>
  <c r="I36"/>
  <c r="I35"/>
  <c r="I34"/>
  <c r="H46"/>
  <c r="H45"/>
  <c r="H44"/>
  <c r="H43"/>
  <c r="H42"/>
  <c r="H41"/>
  <c r="H40"/>
  <c r="H39"/>
  <c r="H38"/>
  <c r="H37"/>
  <c r="H36"/>
  <c r="H35"/>
  <c r="H34"/>
  <c r="G46"/>
  <c r="G45"/>
  <c r="G44"/>
  <c r="G43"/>
  <c r="G42"/>
  <c r="G41"/>
  <c r="G40"/>
  <c r="G39"/>
  <c r="G38"/>
  <c r="G37"/>
  <c r="G36"/>
  <c r="G35"/>
  <c r="G34"/>
  <c r="F46"/>
  <c r="F45"/>
  <c r="F44"/>
  <c r="F43"/>
  <c r="F42"/>
  <c r="F41"/>
  <c r="F40"/>
  <c r="F39"/>
  <c r="F38"/>
  <c r="F37"/>
  <c r="F36"/>
  <c r="F35"/>
  <c r="F34"/>
  <c r="E45"/>
  <c r="E44"/>
  <c r="E43"/>
  <c r="E42"/>
  <c r="E41"/>
  <c r="E40"/>
  <c r="E39"/>
  <c r="E38"/>
  <c r="E37"/>
  <c r="E36"/>
  <c r="E35"/>
  <c r="E34"/>
  <c r="D39"/>
  <c r="D45"/>
  <c r="D44"/>
  <c r="D43"/>
  <c r="D42"/>
  <c r="D41"/>
  <c r="D40"/>
  <c r="D38"/>
  <c r="D37"/>
  <c r="D36"/>
  <c r="D35"/>
  <c r="D34"/>
  <c r="C44"/>
  <c r="C42"/>
  <c r="C39"/>
  <c r="C37"/>
  <c r="C35"/>
  <c r="C45"/>
  <c r="C43"/>
  <c r="C41"/>
  <c r="C40"/>
  <c r="C38"/>
  <c r="C36"/>
  <c r="C34"/>
  <c r="B11"/>
  <c r="B25"/>
  <c r="B24"/>
  <c r="B23"/>
  <c r="B22"/>
  <c r="B21"/>
  <c r="B20"/>
  <c r="B19"/>
  <c r="B18"/>
  <c r="B17"/>
  <c r="B16"/>
  <c r="B15"/>
  <c r="B14"/>
  <c r="K26"/>
  <c r="J26"/>
  <c r="I26"/>
  <c r="H26"/>
  <c r="G26"/>
  <c r="F26"/>
  <c r="D17" i="3"/>
  <c r="S17"/>
  <c r="R17"/>
  <c r="Q17"/>
  <c r="P17"/>
  <c r="O17"/>
  <c r="N17"/>
  <c r="L17"/>
  <c r="K17"/>
  <c r="F17"/>
  <c r="C17"/>
  <c r="B17"/>
  <c r="H19"/>
  <c r="H21"/>
  <c r="H20"/>
  <c r="M26"/>
  <c r="J26"/>
  <c r="I26"/>
  <c r="H26"/>
  <c r="H25"/>
  <c r="H24"/>
  <c r="H23"/>
  <c r="H22"/>
  <c r="M25"/>
  <c r="M24"/>
  <c r="M23"/>
  <c r="M22"/>
  <c r="M19"/>
  <c r="M21"/>
  <c r="M20"/>
  <c r="B45" i="2" l="1"/>
  <c r="B34"/>
  <c r="B44"/>
  <c r="B36"/>
  <c r="B35"/>
  <c r="B41"/>
  <c r="B40"/>
  <c r="B43"/>
  <c r="B42"/>
  <c r="B39"/>
  <c r="B38"/>
  <c r="B37"/>
  <c r="E17" i="3"/>
  <c r="M17"/>
  <c r="H17"/>
  <c r="G19" l="1"/>
  <c r="E26"/>
  <c r="G26" s="1"/>
  <c r="E25"/>
  <c r="G25" s="1"/>
  <c r="E24"/>
  <c r="G24" s="1"/>
  <c r="E23"/>
  <c r="G23" s="1"/>
  <c r="E22"/>
  <c r="G22" s="1"/>
  <c r="E21"/>
  <c r="G21" s="1"/>
  <c r="E20"/>
  <c r="G20" s="1"/>
  <c r="E19"/>
  <c r="C26" i="2"/>
  <c r="D26"/>
  <c r="D46" s="1"/>
  <c r="E26"/>
  <c r="E46" s="1"/>
  <c r="C96" i="4"/>
  <c r="B96"/>
  <c r="B97"/>
  <c r="E98"/>
  <c r="B98"/>
  <c r="L46"/>
  <c r="M46"/>
  <c r="N46"/>
  <c r="AG70"/>
  <c r="AF70"/>
  <c r="AE70"/>
  <c r="AD70"/>
  <c r="P48"/>
  <c r="O48"/>
  <c r="C70"/>
  <c r="L70"/>
  <c r="W70"/>
  <c r="V70"/>
  <c r="U70"/>
  <c r="P46"/>
  <c r="Q34"/>
  <c r="E70"/>
  <c r="D70"/>
  <c r="N70"/>
  <c r="M70"/>
  <c r="X69"/>
  <c r="X68"/>
  <c r="X67"/>
  <c r="I46"/>
  <c r="F70"/>
  <c r="O70"/>
  <c r="C97" s="1"/>
  <c r="R46"/>
  <c r="A17" i="3"/>
  <c r="Q41" i="4"/>
  <c r="Q40"/>
  <c r="B26" i="2" l="1"/>
  <c r="B46" s="1"/>
  <c r="C46"/>
  <c r="I19" i="3"/>
  <c r="J19"/>
  <c r="J24"/>
  <c r="I24"/>
  <c r="I23"/>
  <c r="J23"/>
  <c r="I21"/>
  <c r="J21"/>
  <c r="J25"/>
  <c r="I25"/>
  <c r="I22"/>
  <c r="J22"/>
  <c r="J20"/>
  <c r="I20"/>
  <c r="G17"/>
  <c r="Q48" i="4"/>
  <c r="X70"/>
  <c r="C98" s="1"/>
  <c r="A30" i="3" l="1"/>
  <c r="B41" s="1"/>
  <c r="I17"/>
  <c r="J17"/>
  <c r="N65"/>
  <c r="N64"/>
  <c r="N63"/>
  <c r="N62"/>
  <c r="N61"/>
  <c r="N60"/>
  <c r="N59"/>
  <c r="N58"/>
  <c r="N57"/>
  <c r="N56"/>
  <c r="N55"/>
  <c r="N54"/>
  <c r="N53"/>
  <c r="N52"/>
  <c r="N51"/>
  <c r="N50"/>
  <c r="N49"/>
  <c r="N48"/>
  <c r="N47"/>
  <c r="N46"/>
  <c r="N45"/>
  <c r="N44"/>
  <c r="N43"/>
  <c r="N42"/>
  <c r="N41"/>
  <c r="A32"/>
  <c r="A37"/>
  <c r="A35"/>
  <c r="A34"/>
  <c r="A33"/>
  <c r="A31"/>
  <c r="D41" s="1"/>
  <c r="G48" i="4"/>
  <c r="C29" s="1"/>
  <c r="F48"/>
  <c r="B29" s="1"/>
  <c r="F65" i="3" l="1"/>
  <c r="F64"/>
  <c r="F63"/>
  <c r="F62"/>
  <c r="F61"/>
  <c r="F60"/>
  <c r="F59"/>
  <c r="F58"/>
  <c r="F57"/>
  <c r="F56"/>
  <c r="F55"/>
  <c r="F54"/>
  <c r="F53"/>
  <c r="F52"/>
  <c r="F51"/>
  <c r="F50"/>
  <c r="F49"/>
  <c r="F48"/>
  <c r="F47"/>
  <c r="F46"/>
  <c r="F45"/>
  <c r="F44"/>
  <c r="F43"/>
  <c r="F42"/>
  <c r="F41"/>
  <c r="C41"/>
  <c r="A7"/>
  <c r="G41" l="1"/>
  <c r="D42"/>
  <c r="C42"/>
  <c r="A8"/>
  <c r="A10" s="1"/>
  <c r="G42" l="1"/>
  <c r="D43"/>
  <c r="C43"/>
  <c r="C44" s="1"/>
  <c r="C45" s="1"/>
  <c r="C46" s="1"/>
  <c r="C47" s="1"/>
  <c r="C48" s="1"/>
  <c r="C49" s="1"/>
  <c r="E41"/>
  <c r="H41"/>
  <c r="D44" l="1"/>
  <c r="G43"/>
  <c r="C50"/>
  <c r="I41"/>
  <c r="E42"/>
  <c r="K41"/>
  <c r="L41" s="1"/>
  <c r="E43"/>
  <c r="D45" l="1"/>
  <c r="G44"/>
  <c r="M41"/>
  <c r="B42"/>
  <c r="H42" s="1"/>
  <c r="C51"/>
  <c r="K42"/>
  <c r="L42" s="1"/>
  <c r="L43" s="1"/>
  <c r="E44"/>
  <c r="K43"/>
  <c r="D46" l="1"/>
  <c r="G45"/>
  <c r="I42"/>
  <c r="C52"/>
  <c r="K44"/>
  <c r="L44" s="1"/>
  <c r="E45"/>
  <c r="D47" l="1"/>
  <c r="G46"/>
  <c r="K45"/>
  <c r="L45" s="1"/>
  <c r="B43"/>
  <c r="H43" s="1"/>
  <c r="M42"/>
  <c r="C53"/>
  <c r="E46"/>
  <c r="D48" l="1"/>
  <c r="G47"/>
  <c r="K46"/>
  <c r="L46" s="1"/>
  <c r="I43"/>
  <c r="C54"/>
  <c r="E47"/>
  <c r="D49" l="1"/>
  <c r="G48"/>
  <c r="K47"/>
  <c r="L47" s="1"/>
  <c r="B44"/>
  <c r="M43"/>
  <c r="C55"/>
  <c r="E48"/>
  <c r="D50" l="1"/>
  <c r="G49"/>
  <c r="K48"/>
  <c r="L48" s="1"/>
  <c r="H44"/>
  <c r="I44" s="1"/>
  <c r="C56"/>
  <c r="E49"/>
  <c r="D51" l="1"/>
  <c r="G50"/>
  <c r="B45"/>
  <c r="M44"/>
  <c r="C57"/>
  <c r="E50"/>
  <c r="K49"/>
  <c r="L49" s="1"/>
  <c r="D52" l="1"/>
  <c r="G51"/>
  <c r="H45"/>
  <c r="I45" s="1"/>
  <c r="C58"/>
  <c r="K50"/>
  <c r="L50" s="1"/>
  <c r="E51"/>
  <c r="D53" l="1"/>
  <c r="G52"/>
  <c r="B46"/>
  <c r="M45"/>
  <c r="C59"/>
  <c r="E52"/>
  <c r="K51"/>
  <c r="L51" s="1"/>
  <c r="D54" l="1"/>
  <c r="G53"/>
  <c r="H46"/>
  <c r="I46" s="1"/>
  <c r="C60"/>
  <c r="K52"/>
  <c r="L52" s="1"/>
  <c r="E53"/>
  <c r="D55" l="1"/>
  <c r="G54"/>
  <c r="K53"/>
  <c r="L53" s="1"/>
  <c r="B47"/>
  <c r="M46"/>
  <c r="C61"/>
  <c r="E54"/>
  <c r="D56" l="1"/>
  <c r="G55"/>
  <c r="K54"/>
  <c r="L54" s="1"/>
  <c r="H47"/>
  <c r="I47" s="1"/>
  <c r="C62"/>
  <c r="E55"/>
  <c r="D57" l="1"/>
  <c r="G56"/>
  <c r="K55"/>
  <c r="L55" s="1"/>
  <c r="B48"/>
  <c r="M47"/>
  <c r="C63"/>
  <c r="E56"/>
  <c r="D58" l="1"/>
  <c r="G57"/>
  <c r="K56"/>
  <c r="L56" s="1"/>
  <c r="H48"/>
  <c r="I48" s="1"/>
  <c r="C64"/>
  <c r="E57"/>
  <c r="D59" l="1"/>
  <c r="G58"/>
  <c r="B49"/>
  <c r="M48"/>
  <c r="C65"/>
  <c r="E58"/>
  <c r="K57"/>
  <c r="L57" s="1"/>
  <c r="D60" l="1"/>
  <c r="G59"/>
  <c r="K58"/>
  <c r="L58" s="1"/>
  <c r="H49"/>
  <c r="I49" s="1"/>
  <c r="E59"/>
  <c r="D61" l="1"/>
  <c r="G60"/>
  <c r="B50"/>
  <c r="M49"/>
  <c r="E60"/>
  <c r="K59"/>
  <c r="L59" s="1"/>
  <c r="D62" l="1"/>
  <c r="G61"/>
  <c r="K60"/>
  <c r="L60" s="1"/>
  <c r="H50"/>
  <c r="I50" s="1"/>
  <c r="E61"/>
  <c r="L61" l="1"/>
  <c r="D63"/>
  <c r="G62"/>
  <c r="K61"/>
  <c r="B51"/>
  <c r="M50"/>
  <c r="E62"/>
  <c r="D64" l="1"/>
  <c r="G63"/>
  <c r="H51"/>
  <c r="I51" s="1"/>
  <c r="E63"/>
  <c r="K62"/>
  <c r="L62" s="1"/>
  <c r="D65" l="1"/>
  <c r="G65" s="1"/>
  <c r="G64"/>
  <c r="K63"/>
  <c r="L63" s="1"/>
  <c r="B52"/>
  <c r="M51"/>
  <c r="E64"/>
  <c r="K64" l="1"/>
  <c r="L64" s="1"/>
  <c r="H52"/>
  <c r="I52" s="1"/>
  <c r="E65"/>
  <c r="H48" i="4"/>
  <c r="F46"/>
  <c r="G46"/>
  <c r="O46"/>
  <c r="H45"/>
  <c r="H44"/>
  <c r="H43"/>
  <c r="H42"/>
  <c r="Q39"/>
  <c r="Q38"/>
  <c r="Q37"/>
  <c r="Q36"/>
  <c r="Q35"/>
  <c r="A46"/>
  <c r="A45"/>
  <c r="A44"/>
  <c r="A43"/>
  <c r="A42"/>
  <c r="A41"/>
  <c r="A40"/>
  <c r="A39"/>
  <c r="A38"/>
  <c r="A37"/>
  <c r="A36"/>
  <c r="A35"/>
  <c r="A34"/>
  <c r="C28" l="1"/>
  <c r="D98"/>
  <c r="Q46"/>
  <c r="B28"/>
  <c r="B53" i="3"/>
  <c r="M52"/>
  <c r="H46" i="4"/>
  <c r="D29"/>
  <c r="K65" i="3"/>
  <c r="L65" s="1"/>
  <c r="H53" l="1"/>
  <c r="I53" s="1"/>
  <c r="D28" i="4"/>
  <c r="B54" i="3" l="1"/>
  <c r="M53"/>
  <c r="H54" l="1"/>
  <c r="I54" s="1"/>
  <c r="B55" l="1"/>
  <c r="M54"/>
  <c r="H55" l="1"/>
  <c r="I55" s="1"/>
  <c r="B56" l="1"/>
  <c r="M55"/>
  <c r="H56" l="1"/>
  <c r="I56" s="1"/>
  <c r="B57" l="1"/>
  <c r="M56"/>
  <c r="H57" l="1"/>
  <c r="I57" s="1"/>
  <c r="B58" l="1"/>
  <c r="M57"/>
  <c r="H58" l="1"/>
  <c r="I58" s="1"/>
  <c r="B59" l="1"/>
  <c r="M58"/>
  <c r="H59" l="1"/>
  <c r="I59" s="1"/>
  <c r="B60" l="1"/>
  <c r="M59"/>
  <c r="H60" l="1"/>
  <c r="I60" s="1"/>
  <c r="B61" l="1"/>
  <c r="M60"/>
  <c r="H61" l="1"/>
  <c r="I61" s="1"/>
  <c r="B62" l="1"/>
  <c r="M61"/>
  <c r="H62" l="1"/>
  <c r="I62" s="1"/>
  <c r="B63" l="1"/>
  <c r="M62"/>
  <c r="H63" l="1"/>
  <c r="I63" s="1"/>
  <c r="B64" l="1"/>
  <c r="M63"/>
  <c r="H64" l="1"/>
  <c r="I64" s="1"/>
  <c r="B65" l="1"/>
  <c r="M64"/>
  <c r="H65" l="1"/>
  <c r="I65" s="1"/>
  <c r="M65" s="1"/>
</calcChain>
</file>

<file path=xl/sharedStrings.xml><?xml version="1.0" encoding="utf-8"?>
<sst xmlns="http://schemas.openxmlformats.org/spreadsheetml/2006/main" count="412" uniqueCount="239">
  <si>
    <t>Jan</t>
  </si>
  <si>
    <t>Feb</t>
  </si>
  <si>
    <t>Mar</t>
  </si>
  <si>
    <t>Apr</t>
  </si>
  <si>
    <t>May</t>
  </si>
  <si>
    <t>Jun</t>
  </si>
  <si>
    <t>Jul</t>
  </si>
  <si>
    <t>Aug</t>
  </si>
  <si>
    <t>Sep</t>
  </si>
  <si>
    <t>Oct</t>
  </si>
  <si>
    <t>Nov</t>
  </si>
  <si>
    <t>Dec</t>
  </si>
  <si>
    <t>Month</t>
  </si>
  <si>
    <t>TOTAL</t>
  </si>
  <si>
    <t>Solar</t>
  </si>
  <si>
    <t>Diff</t>
  </si>
  <si>
    <t>1118-1239</t>
  </si>
  <si>
    <t>3955-4383</t>
  </si>
  <si>
    <t>3383-3750</t>
  </si>
  <si>
    <t>8456-9372</t>
  </si>
  <si>
    <t>Variance</t>
  </si>
  <si>
    <t>Usage</t>
  </si>
  <si>
    <t>They had some "issues" getting this going in the first few months, plus the plethora of additional charges/credits results in it not being exactly 13/14 cents/kWh</t>
  </si>
  <si>
    <t>Federal Tax Credit/Subsidy of 30% - thank you taxpayers! ;-)</t>
  </si>
  <si>
    <t>LIFETIME</t>
  </si>
  <si>
    <t>kWh</t>
  </si>
  <si>
    <t>Xcel Energy rates are fixed cents/kWh that vary by year/month</t>
  </si>
  <si>
    <t>But since you can NOT cash this in and you LOSE it when you move, you do NOT want to generate excessive Solar Energy!</t>
  </si>
  <si>
    <t>7.2kW system of 18 Tesla 400H Watt Solar Panels in three arrays of 2@192°, 8@102°, 8@282° all at 23° pitch with very minimal shading at (basically) 40N &amp; 105W - operational 9/1/2023</t>
  </si>
  <si>
    <t>Peak S/U</t>
  </si>
  <si>
    <t>37.6/23.4</t>
  </si>
  <si>
    <t>28.3/18.6</t>
  </si>
  <si>
    <t>20.5/19.9</t>
  </si>
  <si>
    <t>14.9/26.1</t>
  </si>
  <si>
    <t>19.5/24.1</t>
  </si>
  <si>
    <t>27.9/21.2</t>
  </si>
  <si>
    <t>35.6/19.9</t>
  </si>
  <si>
    <t>47.2/18.9</t>
  </si>
  <si>
    <t>47.9/24.2</t>
  </si>
  <si>
    <t>45.3/38.7</t>
  </si>
  <si>
    <t>47.9@5/8</t>
  </si>
  <si>
    <t>2023/09-$75     2024/06-$86</t>
  </si>
  <si>
    <t>In fairness, Xcel provides me with (basically) an "Infinite battery" available 7x24 to provide (and absorb) my power for under $100/year - WHAT A DEAL!!!</t>
  </si>
  <si>
    <t>Xcel NEM (Net Energy Metering) is basically 1:1 consumed and converted (then) to a dollar amount for a Solar Bank than can accumulate and be used to offset any extra</t>
  </si>
  <si>
    <t>Annual percent increase in electricity - EIA shows last 25+ years is about 2.5% which is similar to what I have seen personally</t>
  </si>
  <si>
    <t>My data (minus connection fee) from historical December rates: 2006/8.0 - 2008/9.2 - 2010/9.4 - 2012/10.2 - 2014/10.6 - 2016/10.7 - 2018/10.7 - 2020/11.0  - 2022/11.9</t>
  </si>
  <si>
    <t>Post-tax Investment Rate of Return - possible numbers are 5% for CD's, 9.6% (S&amp;P500 last 20 years to 2023) or 12.2% (S&amp;P500 last 10 years) and then adjust for taxes - https://www.officialdata.org/us/stocks/s-p-500/</t>
  </si>
  <si>
    <t xml:space="preserve">BIG issue is what will happen with NEM in the next couple of decades!!!  </t>
  </si>
  <si>
    <t xml:space="preserve">2023: California moves from NEM2.0 to NEM3.0 which reduces the value of excess solar generation from retail rates to "Avoided Cost" (think Wholesale rates)... which is *considerably* less. </t>
  </si>
  <si>
    <t>2024: California increased fixed costs to $24/month and decreased cents/kWh 20% … LOL it was at 31 cents/kWh - over double what Colorado is!</t>
  </si>
  <si>
    <t>Significant issues include if install damaged roof, hail damage, replacing roof (I have concrete tile, but shingles would require multi-thousand dollar destack), inverter failure (warranty is 12.5 years), critter damage, etc.</t>
  </si>
  <si>
    <t>Other minor issues are increase in homeowner's insurance, property taxes (not allowed in Colorado), timing of tax credit (9 months later for me!)</t>
  </si>
  <si>
    <t>Year</t>
  </si>
  <si>
    <t>Starting</t>
  </si>
  <si>
    <t>kWh Cost</t>
  </si>
  <si>
    <t>Solar kWh</t>
  </si>
  <si>
    <t>Solar $$$</t>
  </si>
  <si>
    <t>Usage kWh</t>
  </si>
  <si>
    <t>Usage $$$</t>
  </si>
  <si>
    <t>IRR</t>
  </si>
  <si>
    <t>Ending</t>
  </si>
  <si>
    <t>Total</t>
  </si>
  <si>
    <t>^^^^^^^</t>
  </si>
  <si>
    <t>Worksheet tab</t>
  </si>
  <si>
    <t>Description</t>
  </si>
  <si>
    <t>Column Info</t>
  </si>
  <si>
    <t>Cost &amp; Payback</t>
  </si>
  <si>
    <t>How much did it cost to put in Solar and a WAG on if it's worth it?</t>
  </si>
  <si>
    <t>Xcel has a required "Service &amp; Facilities Charge" that can NOT be offset by excess solar production</t>
  </si>
  <si>
    <t xml:space="preserve">     Daily</t>
  </si>
  <si>
    <t>Equiv Cost</t>
  </si>
  <si>
    <t>37.6@9/7</t>
  </si>
  <si>
    <t>Jun 1 - Sep 30</t>
  </si>
  <si>
    <t>Jan 1 - May 31</t>
  </si>
  <si>
    <t>Oct 1 - Dec 31</t>
  </si>
  <si>
    <t>Scenario</t>
  </si>
  <si>
    <t>kWh Usage</t>
  </si>
  <si>
    <t>Cents/kWh</t>
  </si>
  <si>
    <t>kWh Solar</t>
  </si>
  <si>
    <t>Opt #1</t>
  </si>
  <si>
    <t>Opt #2</t>
  </si>
  <si>
    <t>Actual</t>
  </si>
  <si>
    <t>Custom</t>
  </si>
  <si>
    <t>Elec %</t>
  </si>
  <si>
    <t>Invest %</t>
  </si>
  <si>
    <t>TOTAL Cost - LOL does NOT include putting the entire amount on a (big spend) credit card for no fee … so got 158,504 points ($18,504 charge, 40,000 referral to Wendy, 100,000 bonus!) … KA-CHING!</t>
  </si>
  <si>
    <t xml:space="preserve">   Optimal Scenario #1 - match Usage to Output</t>
  </si>
  <si>
    <t>Degrade %</t>
  </si>
  <si>
    <t>Nameste</t>
  </si>
  <si>
    <t>Positive value means better to have invested - negative means Solar was better</t>
  </si>
  <si>
    <t>If high percentage of energy comes from solar, then during peak production times rates go "negative" … and personal batteries are EXPENSIVE!</t>
  </si>
  <si>
    <t>K&amp;L: Solar Bank - this accounts for generated solar (and $$$) that is in excess of usage and can be used to offset future cost. If the Total goes Negative, then I have to "pay" to cover the excess energy usage.</t>
  </si>
  <si>
    <t>Alaska</t>
  </si>
  <si>
    <t>Ending - SB</t>
  </si>
  <si>
    <t>I: Columns B-G+H (That year's Capital MINUS what I saved from Solar PLUS what I could have earned from S&amp;P 500) ... which feeds back into next year Column B ... and then repeat each year!</t>
  </si>
  <si>
    <t>Predicted</t>
  </si>
  <si>
    <t>kWh Starting Solar Production</t>
  </si>
  <si>
    <t>Solar production as predicted from NREL PVWatts</t>
  </si>
  <si>
    <t>Prod &amp; Usage Graphs</t>
  </si>
  <si>
    <t>PVWatts says that based on 30 years of weather data and the annual variability for Boulder CO, there is a 90% chance that production will be 93% or higher and 10% chance&gt;103%</t>
  </si>
  <si>
    <t>Panels should provide 98%+ production the first year and then degrading 0.5%/year</t>
  </si>
  <si>
    <t xml:space="preserve">                Solar Bank</t>
  </si>
  <si>
    <t>Simplifying by doing calculations by year, rather than by month. Ending is Starting+IRR-Usage (if invested versus saved)</t>
  </si>
  <si>
    <t>Solar System Cost Data and Payback Analysis</t>
  </si>
  <si>
    <t>My Cost which ends up being $1.80/Watt after subsidy - Namaste was 50% higher at $2.70/Watt!</t>
  </si>
  <si>
    <t xml:space="preserve">   "LOW" Scenario from Alaska 6.7kW system - assume all solar output is used</t>
  </si>
  <si>
    <t>F: How much energy is actually used. If less than solar production, then the extra goes (1:1 at cost!) into Column K - Solar Bank.</t>
  </si>
  <si>
    <t>H: Multiple B times post-tax invest rate of return to get the "didn't invest in solar" return. The 20-year S&amp;P 500 return is 9.6%, so Post-tax is about 7.5% multiplied by capital left in Column B.</t>
  </si>
  <si>
    <t>G: Multiply C &amp; minimum of (D,F). I.e. the cents/kWh times how much kWh (up to usage) that solar produces that I don't have to pay for.</t>
  </si>
  <si>
    <t>B: Starting value is how much solar cost OR you can invest … and then is updated each year.</t>
  </si>
  <si>
    <t>C: Electricity costs in cents/kWh, increasing each year - mine is 2.5%/year in last 25+ years.</t>
  </si>
  <si>
    <t>D: How much Solar Panels generate each year in kWh after degradation … output typically decreases 0.5% per year.</t>
  </si>
  <si>
    <t>E: Multiply C &amp; D to get the "value" generated by Solar.</t>
  </si>
  <si>
    <t>Note this can be used if Solar doesn't provide enough, stops working, etc. But this is LOST when you move, so ideally not much positive balance.</t>
  </si>
  <si>
    <t>N: Columns I-L (Capital remaining minus Solar Bank balance) which is the "TOTAL" number - if it goes negative, then Solar was the better investment.</t>
  </si>
  <si>
    <t>Acquisition Cost … note this was "linear" pricing - i.e. $2.57/Watt even if more/less panels, so makes it easy to generate "optimum" cost analysis below.</t>
  </si>
  <si>
    <t>Tesla doesn't install a Critter Guard and installers quoted it at $1,000 … but I did it myself for cost of materials of $200.</t>
  </si>
  <si>
    <t xml:space="preserve">   Enter your own Custom Numbers</t>
  </si>
  <si>
    <t>NOTES</t>
  </si>
  <si>
    <t>45.1/40.4</t>
  </si>
  <si>
    <t>Data and Analysis of my Solar System - can be easily used for yours!   ;-)</t>
  </si>
  <si>
    <t>36.5/43.8</t>
  </si>
  <si>
    <t>(PVWatts)</t>
  </si>
  <si>
    <t>Tesla Annual Predicted</t>
  </si>
  <si>
    <t>Xcel</t>
  </si>
  <si>
    <t>Sep-Dec</t>
  </si>
  <si>
    <t>So obviously a boo-boo in sizing the system - D'OH!   ;-)</t>
  </si>
  <si>
    <t>Cooling</t>
  </si>
  <si>
    <t>Heating</t>
  </si>
  <si>
    <t>Therms</t>
  </si>
  <si>
    <t>Xcel Data</t>
  </si>
  <si>
    <t>Powerwall Data</t>
  </si>
  <si>
    <t>ANNUAL</t>
  </si>
  <si>
    <t>Xcel Data Pre Solar (except Sep-Dec/2023)</t>
  </si>
  <si>
    <t xml:space="preserve">   I.e. Installed too many solar panels!</t>
  </si>
  <si>
    <t>Questionable Data - usually fixed via interpolation!</t>
  </si>
  <si>
    <r>
      <rPr>
        <vertAlign val="superscript"/>
        <sz val="11"/>
        <color theme="1"/>
        <rFont val="Calibri"/>
        <family val="2"/>
        <scheme val="minor"/>
      </rPr>
      <t>*1</t>
    </r>
    <r>
      <rPr>
        <sz val="11"/>
        <color theme="1"/>
        <rFont val="Calibri"/>
        <family val="2"/>
        <scheme val="minor"/>
      </rPr>
      <t>Feb</t>
    </r>
  </si>
  <si>
    <r>
      <rPr>
        <vertAlign val="superscript"/>
        <sz val="11"/>
        <color theme="1"/>
        <rFont val="Calibri"/>
        <family val="2"/>
        <scheme val="minor"/>
      </rPr>
      <t>*1</t>
    </r>
    <r>
      <rPr>
        <sz val="11"/>
        <color theme="1"/>
        <rFont val="Calibri"/>
        <family val="2"/>
        <scheme val="minor"/>
      </rPr>
      <t>Mar</t>
    </r>
  </si>
  <si>
    <t>Everything runs on Electric except Furnace, Hot Water Tank, and outside BBQ. Cooktop was switched from Gas to Induction in late August/2024.</t>
  </si>
  <si>
    <t>Data below shows Therms (Gas Usage), Heating &amp; Cooling Days, kWh Usage/Solar/Diff (as reported by Powerwall), Diff (as reported by Xcel), and Daily Peak Solar/Usage kWh</t>
  </si>
  <si>
    <t>2020 Partial - NOT graphed</t>
  </si>
  <si>
    <t>*1 - House was vacant from mid-Feb to mid-Mar/2024 … so usage then was truly "baseline" load (8-9kWh/day) since no people, heat turned down, minimal lights, etc.</t>
  </si>
  <si>
    <t>Utility Graphs</t>
  </si>
  <si>
    <t>The Solar Bank Rollover calculations are close but slightly off - after first year (9/1/2023-2024), Xcel says $352.73 and I show $384</t>
  </si>
  <si>
    <t>Note there is no major changes in our usage - if anything, we crank the A/C more(!) … so why the heck is the usage almost 20% lower?!?</t>
  </si>
  <si>
    <t>BTW, summertime baseline (lights aren't on as much) is just over 7kWh/day - about 300 Watts/hour average(!) - 7x24 Radon Fan and computer stuff is close to half of that.</t>
  </si>
  <si>
    <t>Well darn … I made a math error for 2022 as I either incremented an thousand kWh in manually adding up the paper bills … or transposed 6,700-&gt;7,600 when I wrote it down - confirmation bias looking at previous years!</t>
  </si>
  <si>
    <t>Notes</t>
  </si>
  <si>
    <t xml:space="preserve">   This is the actual numbers used when designing my Solar System</t>
  </si>
  <si>
    <t xml:space="preserve">   Optimal Scenario #2 - match Output to Usage</t>
  </si>
  <si>
    <t xml:space="preserve">   Neighbor (ballpark numbers) - details below in note #2</t>
  </si>
  <si>
    <t xml:space="preserve">   Neighbor (ballpark numbers) - details below in note #3</t>
  </si>
  <si>
    <t xml:space="preserve">   Actual numbers over the years - currently using 9/1/2023-9/1/2024 - see note #1</t>
  </si>
  <si>
    <t>Average Annual Cents/kWh at start - For me, I declined TOU, so it's fixed cents/kWh from 6/1-9/30 and a bit lower the rest of the year - details on Prod &amp; Usage Data Tab</t>
  </si>
  <si>
    <t>Note that Payback Analysis is very sensitive (DUH!) to electricity costs (mine was 13.5 cents/kWh) and annual increases (2.5% last 25+ years) plus investment rate of return (S&amp;P500 pre-tax is 9.6% last 20 years)</t>
  </si>
  <si>
    <t>&lt;&lt;&lt;&lt;&lt;&lt;&lt;&lt;   Select a numbers from one of the scenario's below and scroll down to see results</t>
  </si>
  <si>
    <t>Annual Degradation in Solar Output - My specs (typical) say expected solar production will be at least 86% after 25 years. Panel Warranty is 25 years - Inverter is 12.5 years (Tesla fixes, but does not make up loss of production)</t>
  </si>
  <si>
    <t>Gas and Electrical Usage plus Solar Production</t>
  </si>
  <si>
    <t>Kilowatt-Hours as measured: Solar produced, (total) Home usage, and Difference (Net) with daily peaks and equivalent cost … plus Gas Usage in Therms</t>
  </si>
  <si>
    <t>Solar goes live at end of August/2023 … so now generating energy</t>
  </si>
  <si>
    <t xml:space="preserve">Annual Gas and Electrical Usage with Solar Generation from 2024 onward </t>
  </si>
  <si>
    <t>Install Radon Fan which pulls ~60Watts which runs 7X24 (so 500+kWh/year) in August/2022</t>
  </si>
  <si>
    <t>Old fridge died (while gone for a week - STINKERS) so new/better/bigger one installed in August/2013</t>
  </si>
  <si>
    <t>Hot Water Heater (Gas) replaced in Feb/2020 … doubt it will make much difference</t>
  </si>
  <si>
    <t>Data from 2021 onward is based on Xcel (numbers above) and has higher accuracy</t>
  </si>
  <si>
    <t xml:space="preserve">  4mo</t>
  </si>
  <si>
    <t>Pred Prod</t>
  </si>
  <si>
    <t>Graph of predicted and actual solar production plus home usage</t>
  </si>
  <si>
    <t>Bar Charts of Electrical &amp; Gas Usage since 2007</t>
  </si>
  <si>
    <t>Electrical &amp; Gas data from utility plus solar production</t>
  </si>
  <si>
    <t>I built this spreadsheet in 2023 when I was installing Solar to help with the design -  the Cost &amp; Payback tab is fairly generic - try it out with your system!   ;-)</t>
  </si>
  <si>
    <t>I welcome any suggestions/feedback. Alek Komarnitsky - www.komar.org</t>
  </si>
  <si>
    <t>Over time, it has evolved to also show and analyze my utility data … and again, it's fairly generic so you can easily replace with your data and generate pretty graphs.</t>
  </si>
  <si>
    <t>You can easily change the values below (which flow to the other tabs and graphs) with your own by using the PVWatts website, what your vendor has provided, or however you predict output.</t>
  </si>
  <si>
    <t>You can easily replace the numbers below with your data and they will flow to the other tabs and graphs</t>
  </si>
  <si>
    <t>My house was built in 1992 with 3,200 finished square feet, 1,400 unfinished basement, gas for furnace, hot water, cooktop (until 2024), and outside BBQ</t>
  </si>
  <si>
    <t>Looking at my monthly utility bills, my electrical usage from 2019-2022 was 7,466/7,568/7,612/7,607 kWh which formed the basis for sizing the solar system.</t>
  </si>
  <si>
    <t>This is an average of 7,563kWh (with 1.3% variance!), yet somehow our total home usage for the first year of solar from 9/1/2023-2024 dropped to 6,117 kWh - WTF?!?</t>
  </si>
  <si>
    <t>Now that I have better access to Xcel data, 2011 was 7,612kWh … but 2022 dropped to 6,700kWh … due to Dirk leaving house - LOL he was pulling a incremental ~1,000kWh … which actually seems reasonable!</t>
  </si>
  <si>
    <t>Predicted comes from NREL-PVWatts (see Pred Prod worksheet tab) and actual data comes from Powerwall-Dashboard which correlates very well with Xcel numbers.</t>
  </si>
  <si>
    <t>Xcel data comes from their website as they provide data by month - note with Solar, you can (mostly) only see Diff, since total usage includes some from Solar.</t>
  </si>
  <si>
    <t>Graph of Electrical &amp; Gas Usage with Heating/Cooling Days</t>
  </si>
  <si>
    <t>Abnormally cold month</t>
  </si>
  <si>
    <t>Abnormally warm month</t>
  </si>
  <si>
    <t>My guess is if we were around, about 200kWh of additional energy would have been used - assumes straight-line reduction from Jan-Apr.</t>
  </si>
  <si>
    <t>New Furnace and A/C installed in October/2019. Furnace probably won't make much difference (although less cost to run fan) and A/C should be more efficient</t>
  </si>
  <si>
    <t>Gas Cooktop replaced with Induction in August/2024 - should see slight shift from Therms to kWh</t>
  </si>
  <si>
    <t>Cooling days use Electricity (kWh) to cool the house - Heating days use Gas (Therms) to warm it.</t>
  </si>
  <si>
    <t>Elec &amp; Gas Data</t>
  </si>
  <si>
    <t>Annual Graphs</t>
  </si>
  <si>
    <t>Array4</t>
  </si>
  <si>
    <t>Array5</t>
  </si>
  <si>
    <t>Array6</t>
  </si>
  <si>
    <t>Array7</t>
  </si>
  <si>
    <t>Array8</t>
  </si>
  <si>
    <t>Tax Credit</t>
  </si>
  <si>
    <t>Pre-Tax</t>
  </si>
  <si>
    <t>Post-Tax</t>
  </si>
  <si>
    <t>Extra</t>
  </si>
  <si>
    <t>As Planned</t>
  </si>
  <si>
    <t>$/kWh</t>
  </si>
  <si>
    <t>kW Rating</t>
  </si>
  <si>
    <t>Capacity</t>
  </si>
  <si>
    <t>Costs - ONLY enter Pre-Tax, Tax Credit Rate, and any Extra Costs</t>
  </si>
  <si>
    <t>$/Watt</t>
  </si>
  <si>
    <t>Nothing else needs to be changed unless you enter "Custom" numbers below and select that numeric option - Note that some columns are calculated for you</t>
  </si>
  <si>
    <t>#1:Starting cost of electricity was based on total cents/kWh in the first year of operation from 9/1/2023-9/1/2024. Unusually high bump of summer rates to 16 cents/kWh. I plan to switch to calendar year (i.e. skipping the partial 2023 data) once 2024 is complete.</t>
  </si>
  <si>
    <t>Mine is 7.2kW system of 18 Tesla 400H Watt Solar Panels in three arrays of 2@192°, 8@102°, 8@282° all at 23° pitch with very minimal shading at (basically) 40N &amp; 105W - operational 9/1/2023</t>
  </si>
  <si>
    <t>Annual</t>
  </si>
  <si>
    <t>Factor</t>
  </si>
  <si>
    <t>System</t>
  </si>
  <si>
    <t>The numbers in the columns below come from above - ONLY select the number of the scenario</t>
  </si>
  <si>
    <t>Array1</t>
  </si>
  <si>
    <t>Array2</t>
  </si>
  <si>
    <t>Array3</t>
  </si>
  <si>
    <t>Array9</t>
  </si>
  <si>
    <t>All Arrays</t>
  </si>
  <si>
    <t>kW Capacity</t>
  </si>
  <si>
    <t>Yearly kWh</t>
  </si>
  <si>
    <t>Predicted kWh Output from NREL PVWatts Calculator - https://pvwatts.nrel.gov/</t>
  </si>
  <si>
    <t>Capacity Factor - predicted kWh output divided by kW capacity (X24 hours X days in month) - data entered above</t>
  </si>
  <si>
    <t>Solar Production Predicted Output</t>
  </si>
  <si>
    <t>Solar Panel Production/Usage Analysis</t>
  </si>
  <si>
    <t>kWh and Therms used alongside Cooling &amp; Heating Days</t>
  </si>
  <si>
    <t>Annual Electrical &amp; Gas Usage</t>
  </si>
  <si>
    <t>2x400@192°</t>
  </si>
  <si>
    <t>8x400@102°</t>
  </si>
  <si>
    <t>8x400@282°</t>
  </si>
  <si>
    <t>NREL PVWatts Calculator was done in mid/2024 using website version 8.2.1 and API version 8.0 with default parameters with Premium Modules and Roof Mount with 23° pitch</t>
  </si>
  <si>
    <r>
      <t>Interesting that (for those 2X400 panels), PVWatts at (as installed) 192/23</t>
    </r>
    <r>
      <rPr>
        <vertAlign val="superscript"/>
        <sz val="11"/>
        <color theme="1"/>
        <rFont val="Calibri"/>
        <family val="2"/>
        <scheme val="minor"/>
      </rPr>
      <t>o</t>
    </r>
    <r>
      <rPr>
        <sz val="11"/>
        <color theme="1"/>
        <rFont val="Calibri"/>
        <family val="2"/>
        <scheme val="minor"/>
      </rPr>
      <t xml:space="preserve"> (azimuth/pitch) is 1,199 kWh, optimum azimuth is 172</t>
    </r>
    <r>
      <rPr>
        <vertAlign val="superscript"/>
        <sz val="11"/>
        <color theme="1"/>
        <rFont val="Calibri"/>
        <family val="2"/>
        <scheme val="minor"/>
      </rPr>
      <t>o</t>
    </r>
    <r>
      <rPr>
        <sz val="11"/>
        <color theme="1"/>
        <rFont val="Calibri"/>
        <family val="2"/>
        <scheme val="minor"/>
      </rPr>
      <t xml:space="preserve"> (not 180</t>
    </r>
    <r>
      <rPr>
        <vertAlign val="superscript"/>
        <sz val="11"/>
        <color theme="1"/>
        <rFont val="Calibri"/>
        <family val="2"/>
        <scheme val="minor"/>
      </rPr>
      <t>o</t>
    </r>
    <r>
      <rPr>
        <sz val="11"/>
        <color theme="1"/>
        <rFont val="Calibri"/>
        <family val="2"/>
        <scheme val="minor"/>
      </rPr>
      <t>) for 1,211kWh, and absolute optimum is 172/40</t>
    </r>
    <r>
      <rPr>
        <vertAlign val="superscript"/>
        <sz val="11"/>
        <color theme="1"/>
        <rFont val="Calibri"/>
        <family val="2"/>
        <scheme val="minor"/>
      </rPr>
      <t>o</t>
    </r>
    <r>
      <rPr>
        <sz val="11"/>
        <color theme="1"/>
        <rFont val="Calibri"/>
        <family val="2"/>
        <scheme val="minor"/>
      </rPr>
      <t xml:space="preserve"> (matching my latitude) for 1,246kWh</t>
    </r>
  </si>
  <si>
    <t>NOTES/CHANGES</t>
  </si>
  <si>
    <t>Tesla estimated annual energy production at install - 1.6% less than NREL PVWatts - may account for very slight chimney shade?</t>
  </si>
  <si>
    <t>Dirk moves out in March/2022 (maybe ~1000kWh/year difference?) plus 4 Blown Windows replaced in Feb/2022 and insulation put above garage &amp; attic in the August/2022 (maybe some difference in kWh and Therms)</t>
  </si>
  <si>
    <t>Total Cost to install Solar System after tax credit/subsidy - should include Critter Guard and any other misc.</t>
  </si>
  <si>
    <t>kWh Electrical Usage</t>
  </si>
  <si>
    <t>Note that since Tesla pricing is linear, for what-if scenario's, you can simply adjust total price/output based on (ignore critter guard) $1.80/Watt post-tax. I had originally planned to put in 16 panels, but decided at the last minute to add 2 more … a mistake unless we increase our home usage!</t>
  </si>
  <si>
    <t xml:space="preserve">#3: Neighbor to East used Namaste - went BIGGER with 74(!) panels - 29kW - 36kWh (only 80% of their usage - albeit with two EV's and hot tub) for $120,000 and includes Critter Guard and Micro-Inverter Design. They weren't certain on the numbers, so those are estimates but seems about right. </t>
  </si>
  <si>
    <t>#2: BHE Neighbor used Namaste - went BIG with 32 panels - 13kW - 17kWh (only 70% of their usage - albeit with two EV's) for $50,000(!) and includes critter guard and Micro-Inverter Design. Nameste floats tax credit ($17,000!) as a tax-free loan.</t>
  </si>
  <si>
    <t>Last Updated: 9/25/2024</t>
  </si>
</sst>
</file>

<file path=xl/styles.xml><?xml version="1.0" encoding="utf-8"?>
<styleSheet xmlns="http://schemas.openxmlformats.org/spreadsheetml/2006/main">
  <numFmts count="5">
    <numFmt numFmtId="6" formatCode="&quot;$&quot;#,##0_);[Red]\(&quot;$&quot;#,##0\)"/>
    <numFmt numFmtId="164" formatCode="&quot;$&quot;#,##0"/>
    <numFmt numFmtId="165" formatCode="0.0%"/>
    <numFmt numFmtId="166" formatCode="0.0"/>
    <numFmt numFmtId="167" formatCode="&quot;$&quot;#,##0.00"/>
  </numFmts>
  <fonts count="18">
    <font>
      <sz val="11"/>
      <color theme="1"/>
      <name val="Calibri"/>
      <family val="2"/>
      <scheme val="minor"/>
    </font>
    <font>
      <b/>
      <u/>
      <sz val="11"/>
      <color theme="1"/>
      <name val="Calibri"/>
      <family val="2"/>
      <scheme val="minor"/>
    </font>
    <font>
      <b/>
      <u/>
      <sz val="14"/>
      <color theme="1"/>
      <name val="Calibri"/>
      <family val="2"/>
      <scheme val="minor"/>
    </font>
    <font>
      <b/>
      <sz val="11"/>
      <color theme="1"/>
      <name val="Calibri"/>
      <family val="2"/>
      <scheme val="minor"/>
    </font>
    <font>
      <b/>
      <u/>
      <sz val="13"/>
      <color theme="1"/>
      <name val="Calibri"/>
      <family val="2"/>
      <scheme val="minor"/>
    </font>
    <font>
      <b/>
      <u/>
      <sz val="16"/>
      <color theme="1"/>
      <name val="Calibri"/>
      <family val="2"/>
      <scheme val="minor"/>
    </font>
    <font>
      <b/>
      <sz val="14"/>
      <color theme="1"/>
      <name val="Calibri"/>
      <family val="2"/>
      <scheme val="minor"/>
    </font>
    <font>
      <b/>
      <u/>
      <sz val="18"/>
      <color theme="1"/>
      <name val="Calibri"/>
      <family val="2"/>
      <scheme val="minor"/>
    </font>
    <font>
      <b/>
      <u/>
      <sz val="12"/>
      <color theme="1"/>
      <name val="Calibri"/>
      <family val="2"/>
      <scheme val="minor"/>
    </font>
    <font>
      <sz val="12"/>
      <color theme="1"/>
      <name val="Calibri"/>
      <family val="2"/>
      <scheme val="minor"/>
    </font>
    <font>
      <i/>
      <sz val="11"/>
      <color theme="1"/>
      <name val="Calibri"/>
      <family val="2"/>
      <scheme val="minor"/>
    </font>
    <font>
      <b/>
      <sz val="13"/>
      <color theme="1"/>
      <name val="Calibri"/>
      <family val="2"/>
      <scheme val="minor"/>
    </font>
    <font>
      <vertAlign val="superscript"/>
      <sz val="11"/>
      <color theme="1"/>
      <name val="Calibri"/>
      <family val="2"/>
      <scheme val="minor"/>
    </font>
    <font>
      <sz val="10"/>
      <name val="Arial"/>
      <family val="2"/>
    </font>
    <font>
      <sz val="14"/>
      <color theme="1"/>
      <name val="Calibri"/>
      <family val="2"/>
      <scheme val="minor"/>
    </font>
    <font>
      <sz val="11"/>
      <name val="Calibri"/>
      <family val="2"/>
      <scheme val="minor"/>
    </font>
    <font>
      <b/>
      <u/>
      <sz val="22"/>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6337778862885"/>
        <bgColor indexed="64"/>
      </patternFill>
    </fill>
    <fill>
      <patternFill patternType="solid">
        <fgColor rgb="FFFFC000"/>
        <bgColor indexed="64"/>
      </patternFill>
    </fill>
    <fill>
      <patternFill patternType="solid">
        <fgColor theme="3" tint="0.79998168889431442"/>
        <bgColor indexed="64"/>
      </patternFill>
    </fill>
  </fills>
  <borders count="2">
    <border>
      <left/>
      <right/>
      <top/>
      <bottom/>
      <diagonal/>
    </border>
    <border>
      <left/>
      <right/>
      <top/>
      <bottom style="thin">
        <color auto="1"/>
      </bottom>
      <diagonal/>
    </border>
  </borders>
  <cellStyleXfs count="1">
    <xf numFmtId="0" fontId="0" fillId="0" borderId="0"/>
  </cellStyleXfs>
  <cellXfs count="113">
    <xf numFmtId="0" fontId="0" fillId="0" borderId="0" xfId="0"/>
    <xf numFmtId="0" fontId="0" fillId="0" borderId="0" xfId="0" applyAlignment="1">
      <alignment horizontal="right"/>
    </xf>
    <xf numFmtId="164" fontId="0" fillId="0" borderId="0" xfId="0" applyNumberFormat="1"/>
    <xf numFmtId="0" fontId="1" fillId="0" borderId="0" xfId="0" applyFont="1" applyAlignment="1">
      <alignment horizontal="right"/>
    </xf>
    <xf numFmtId="0" fontId="3" fillId="0" borderId="0" xfId="0" applyFont="1" applyAlignment="1">
      <alignment horizontal="right"/>
    </xf>
    <xf numFmtId="0" fontId="3" fillId="0" borderId="0" xfId="0" applyFont="1"/>
    <xf numFmtId="0" fontId="3" fillId="0" borderId="0" xfId="0" applyFont="1" applyAlignment="1">
      <alignment horizontal="left"/>
    </xf>
    <xf numFmtId="0" fontId="5" fillId="0" borderId="0" xfId="0" applyFont="1"/>
    <xf numFmtId="6" fontId="0" fillId="0" borderId="0" xfId="0" applyNumberFormat="1"/>
    <xf numFmtId="0" fontId="0" fillId="0" borderId="0" xfId="0" applyAlignment="1">
      <alignment horizontal="left"/>
    </xf>
    <xf numFmtId="0" fontId="2" fillId="0" borderId="0" xfId="0" applyFont="1" applyAlignment="1">
      <alignment horizontal="right"/>
    </xf>
    <xf numFmtId="0" fontId="3" fillId="0" borderId="0" xfId="0" applyFont="1" applyAlignment="1">
      <alignment horizontal="center"/>
    </xf>
    <xf numFmtId="0" fontId="7" fillId="0" borderId="0" xfId="0" applyFont="1"/>
    <xf numFmtId="0" fontId="0" fillId="0" borderId="1" xfId="0" applyBorder="1" applyAlignment="1">
      <alignment horizontal="right"/>
    </xf>
    <xf numFmtId="0" fontId="0" fillId="0" borderId="1" xfId="0" applyBorder="1"/>
    <xf numFmtId="0" fontId="0" fillId="0" borderId="0" xfId="0" applyAlignment="1"/>
    <xf numFmtId="165" fontId="0" fillId="0" borderId="0" xfId="0" applyNumberFormat="1"/>
    <xf numFmtId="0" fontId="0" fillId="0" borderId="0" xfId="0" applyNumberFormat="1" applyAlignment="1">
      <alignment horizontal="right"/>
    </xf>
    <xf numFmtId="164" fontId="0" fillId="0" borderId="0" xfId="0" applyNumberFormat="1" applyAlignment="1">
      <alignment horizontal="right"/>
    </xf>
    <xf numFmtId="166" fontId="0" fillId="0" borderId="0" xfId="0" applyNumberFormat="1" applyAlignment="1">
      <alignment horizontal="right"/>
    </xf>
    <xf numFmtId="1" fontId="0" fillId="0" borderId="0" xfId="0" applyNumberFormat="1" applyAlignment="1">
      <alignment horizontal="right"/>
    </xf>
    <xf numFmtId="166" fontId="0" fillId="0" borderId="0" xfId="0" applyNumberFormat="1"/>
    <xf numFmtId="1" fontId="0" fillId="0" borderId="0" xfId="0" applyNumberFormat="1"/>
    <xf numFmtId="0" fontId="8" fillId="0" borderId="0" xfId="0" applyFont="1"/>
    <xf numFmtId="165" fontId="8" fillId="0" borderId="0" xfId="0" applyNumberFormat="1" applyFont="1"/>
    <xf numFmtId="0" fontId="0" fillId="0" borderId="0" xfId="0" applyNumberFormat="1"/>
    <xf numFmtId="0" fontId="0" fillId="0" borderId="0" xfId="0" applyFill="1" applyBorder="1" applyAlignment="1">
      <alignment horizontal="right"/>
    </xf>
    <xf numFmtId="6" fontId="0" fillId="0" borderId="0" xfId="0" applyNumberFormat="1" applyAlignment="1">
      <alignment horizontal="right"/>
    </xf>
    <xf numFmtId="165" fontId="0" fillId="0" borderId="0" xfId="0" applyNumberFormat="1" applyAlignment="1">
      <alignment horizontal="right"/>
    </xf>
    <xf numFmtId="1" fontId="3" fillId="0" borderId="0" xfId="0" applyNumberFormat="1" applyFont="1"/>
    <xf numFmtId="6" fontId="6" fillId="0" borderId="0" xfId="0" applyNumberFormat="1" applyFont="1"/>
    <xf numFmtId="0" fontId="8" fillId="0" borderId="0" xfId="0" applyNumberFormat="1" applyFont="1" applyAlignment="1">
      <alignment horizontal="right"/>
    </xf>
    <xf numFmtId="164" fontId="3" fillId="0" borderId="0" xfId="0" applyNumberFormat="1" applyFont="1" applyAlignment="1">
      <alignment horizontal="right"/>
    </xf>
    <xf numFmtId="165" fontId="3" fillId="0" borderId="0" xfId="0" applyNumberFormat="1" applyFont="1" applyAlignment="1">
      <alignment horizontal="right"/>
    </xf>
    <xf numFmtId="1" fontId="3" fillId="0" borderId="0" xfId="0" applyNumberFormat="1" applyFont="1" applyAlignment="1">
      <alignment horizontal="right"/>
    </xf>
    <xf numFmtId="166" fontId="3" fillId="0" borderId="0" xfId="0" applyNumberFormat="1" applyFont="1" applyAlignment="1">
      <alignment horizontal="right"/>
    </xf>
    <xf numFmtId="0" fontId="6" fillId="0" borderId="0" xfId="0" applyFont="1" applyAlignment="1">
      <alignment horizontal="left"/>
    </xf>
    <xf numFmtId="166" fontId="3" fillId="0" borderId="0" xfId="0" applyNumberFormat="1" applyFont="1"/>
    <xf numFmtId="3" fontId="3" fillId="0" borderId="0" xfId="0" applyNumberFormat="1" applyFont="1"/>
    <xf numFmtId="164" fontId="3" fillId="0" borderId="0" xfId="0" applyNumberFormat="1" applyFont="1"/>
    <xf numFmtId="0" fontId="9" fillId="0" borderId="0" xfId="0" applyNumberFormat="1" applyFont="1" applyAlignment="1">
      <alignment horizontal="left"/>
    </xf>
    <xf numFmtId="0" fontId="8" fillId="0" borderId="0" xfId="0" applyFont="1" applyAlignment="1">
      <alignment horizontal="right"/>
    </xf>
    <xf numFmtId="0" fontId="10" fillId="0" borderId="0" xfId="0" applyFont="1"/>
    <xf numFmtId="0" fontId="10" fillId="0" borderId="1" xfId="0" applyFont="1" applyBorder="1"/>
    <xf numFmtId="6" fontId="3" fillId="0" borderId="0" xfId="0" applyNumberFormat="1" applyFont="1"/>
    <xf numFmtId="165" fontId="3" fillId="0" borderId="0" xfId="0" applyNumberFormat="1" applyFont="1"/>
    <xf numFmtId="6" fontId="6" fillId="3" borderId="0" xfId="0" applyNumberFormat="1" applyFont="1" applyFill="1"/>
    <xf numFmtId="0" fontId="0" fillId="3" borderId="0" xfId="0" applyFill="1"/>
    <xf numFmtId="1" fontId="6" fillId="2" borderId="0" xfId="0" applyNumberFormat="1" applyFont="1" applyFill="1"/>
    <xf numFmtId="0" fontId="1" fillId="0" borderId="0" xfId="0" applyFont="1"/>
    <xf numFmtId="0" fontId="1" fillId="0" borderId="0" xfId="0" applyFont="1" applyAlignment="1">
      <alignment horizontal="left"/>
    </xf>
    <xf numFmtId="0" fontId="10" fillId="0" borderId="0" xfId="0" applyFont="1" applyFill="1" applyBorder="1" applyAlignment="1">
      <alignment horizontal="left"/>
    </xf>
    <xf numFmtId="0" fontId="4" fillId="0" borderId="0" xfId="0" applyFont="1" applyAlignment="1">
      <alignment horizontal="right"/>
    </xf>
    <xf numFmtId="0" fontId="11" fillId="0" borderId="0" xfId="0" applyFont="1" applyAlignment="1">
      <alignment horizontal="right"/>
    </xf>
    <xf numFmtId="0" fontId="4" fillId="0" borderId="0" xfId="0" applyFont="1" applyAlignment="1">
      <alignment horizontal="left"/>
    </xf>
    <xf numFmtId="0" fontId="0" fillId="0" borderId="0" xfId="0" applyFont="1"/>
    <xf numFmtId="0" fontId="0" fillId="0" borderId="0" xfId="0" applyFont="1" applyAlignment="1">
      <alignment horizontal="left"/>
    </xf>
    <xf numFmtId="0" fontId="0" fillId="0" borderId="0" xfId="0" applyFont="1" applyAlignment="1">
      <alignment horizontal="right"/>
    </xf>
    <xf numFmtId="0" fontId="0" fillId="2" borderId="0" xfId="0" applyFill="1"/>
    <xf numFmtId="0" fontId="0" fillId="4" borderId="0" xfId="0" applyFill="1"/>
    <xf numFmtId="0" fontId="0" fillId="6" borderId="0" xfId="0" applyFill="1"/>
    <xf numFmtId="0" fontId="0" fillId="0" borderId="1" xfId="0" applyFont="1" applyBorder="1"/>
    <xf numFmtId="0" fontId="0" fillId="7" borderId="0" xfId="0" applyFill="1" applyAlignment="1">
      <alignment horizontal="right"/>
    </xf>
    <xf numFmtId="0" fontId="0" fillId="7" borderId="0" xfId="0" applyFill="1"/>
    <xf numFmtId="0" fontId="0" fillId="5" borderId="0" xfId="0" applyFill="1" applyAlignment="1">
      <alignment horizontal="left"/>
    </xf>
    <xf numFmtId="0" fontId="1" fillId="2" borderId="0" xfId="0" applyFont="1" applyFill="1" applyAlignment="1">
      <alignment horizontal="left"/>
    </xf>
    <xf numFmtId="0" fontId="0" fillId="4" borderId="0" xfId="0" applyFont="1" applyFill="1" applyAlignment="1">
      <alignment horizontal="right"/>
    </xf>
    <xf numFmtId="0" fontId="0" fillId="7" borderId="1" xfId="0" applyFill="1" applyBorder="1"/>
    <xf numFmtId="0" fontId="0" fillId="6" borderId="0" xfId="0" applyFill="1" applyAlignment="1">
      <alignment horizontal="right"/>
    </xf>
    <xf numFmtId="0" fontId="0" fillId="7" borderId="0" xfId="0" applyFont="1" applyFill="1"/>
    <xf numFmtId="0" fontId="13" fillId="0" borderId="0" xfId="0" applyFont="1"/>
    <xf numFmtId="0" fontId="14" fillId="0" borderId="0" xfId="0" applyFont="1"/>
    <xf numFmtId="0" fontId="15" fillId="0" borderId="0" xfId="0" applyFont="1"/>
    <xf numFmtId="0" fontId="16" fillId="0" borderId="0" xfId="0" applyFont="1"/>
    <xf numFmtId="0" fontId="8" fillId="0" borderId="0" xfId="0" applyFont="1" applyAlignment="1">
      <alignment horizontal="center"/>
    </xf>
    <xf numFmtId="2" fontId="3" fillId="0" borderId="0" xfId="0" applyNumberFormat="1" applyFont="1" applyAlignment="1">
      <alignment horizontal="right"/>
    </xf>
    <xf numFmtId="167" fontId="3" fillId="0" borderId="0" xfId="0" applyNumberFormat="1" applyFont="1" applyAlignment="1">
      <alignment horizontal="right"/>
    </xf>
    <xf numFmtId="167" fontId="0" fillId="0" borderId="0" xfId="0" applyNumberFormat="1" applyAlignment="1">
      <alignment horizontal="right"/>
    </xf>
    <xf numFmtId="9" fontId="0" fillId="0" borderId="0" xfId="0" applyNumberFormat="1" applyFont="1" applyAlignment="1">
      <alignment horizontal="right"/>
    </xf>
    <xf numFmtId="164" fontId="0" fillId="0" borderId="0" xfId="0" applyNumberFormat="1" applyFont="1" applyAlignment="1">
      <alignment horizontal="right"/>
    </xf>
    <xf numFmtId="2" fontId="0" fillId="0" borderId="0" xfId="0" applyNumberFormat="1" applyFont="1" applyAlignment="1">
      <alignment horizontal="right"/>
    </xf>
    <xf numFmtId="1" fontId="17" fillId="0" borderId="0" xfId="0" applyNumberFormat="1" applyFont="1"/>
    <xf numFmtId="0" fontId="17" fillId="0" borderId="0" xfId="0" applyFont="1" applyAlignment="1">
      <alignment horizontal="right"/>
    </xf>
    <xf numFmtId="164" fontId="17" fillId="0" borderId="0" xfId="0" applyNumberFormat="1" applyFont="1" applyAlignment="1">
      <alignment horizontal="right"/>
    </xf>
    <xf numFmtId="9" fontId="17" fillId="0" borderId="0" xfId="0" applyNumberFormat="1" applyFont="1" applyAlignment="1">
      <alignment horizontal="right"/>
    </xf>
    <xf numFmtId="167" fontId="17" fillId="0" borderId="0" xfId="0" applyNumberFormat="1" applyFont="1" applyAlignment="1">
      <alignment horizontal="right"/>
    </xf>
    <xf numFmtId="2" fontId="17" fillId="0" borderId="0" xfId="0" applyNumberFormat="1" applyFont="1" applyAlignment="1">
      <alignment horizontal="right"/>
    </xf>
    <xf numFmtId="1" fontId="17" fillId="0" borderId="0" xfId="0" applyNumberFormat="1" applyFont="1" applyAlignment="1">
      <alignment horizontal="right"/>
    </xf>
    <xf numFmtId="165" fontId="17" fillId="0" borderId="0" xfId="0" applyNumberFormat="1" applyFont="1" applyAlignment="1">
      <alignment horizontal="right"/>
    </xf>
    <xf numFmtId="166" fontId="17" fillId="0" borderId="0" xfId="0" applyNumberFormat="1" applyFont="1" applyAlignment="1">
      <alignment horizontal="right"/>
    </xf>
    <xf numFmtId="0" fontId="17" fillId="0" borderId="0" xfId="0" applyFont="1"/>
    <xf numFmtId="0" fontId="9" fillId="0" borderId="0" xfId="0" applyFont="1"/>
    <xf numFmtId="1" fontId="0" fillId="0" borderId="0" xfId="0" applyNumberFormat="1" applyFont="1"/>
    <xf numFmtId="167" fontId="0" fillId="0" borderId="0" xfId="0" applyNumberFormat="1" applyFont="1" applyAlignment="1">
      <alignment horizontal="right"/>
    </xf>
    <xf numFmtId="1" fontId="0" fillId="0" borderId="0" xfId="0" applyNumberFormat="1" applyFont="1" applyAlignment="1">
      <alignment horizontal="right"/>
    </xf>
    <xf numFmtId="165" fontId="0" fillId="0" borderId="0" xfId="0" applyNumberFormat="1" applyFont="1" applyAlignment="1">
      <alignment horizontal="right"/>
    </xf>
    <xf numFmtId="166" fontId="0" fillId="0" borderId="0" xfId="0" applyNumberFormat="1" applyFont="1" applyAlignment="1">
      <alignment horizontal="right"/>
    </xf>
    <xf numFmtId="6" fontId="17" fillId="0" borderId="0" xfId="0" applyNumberFormat="1" applyFont="1"/>
    <xf numFmtId="10" fontId="17" fillId="0" borderId="0" xfId="0" applyNumberFormat="1" applyFont="1" applyAlignment="1">
      <alignment horizontal="right"/>
    </xf>
    <xf numFmtId="10" fontId="3" fillId="0" borderId="0" xfId="0" applyNumberFormat="1" applyFont="1" applyAlignment="1">
      <alignment horizontal="right"/>
    </xf>
    <xf numFmtId="10" fontId="0" fillId="0" borderId="0" xfId="0" applyNumberFormat="1" applyFont="1" applyAlignment="1">
      <alignment horizontal="right"/>
    </xf>
    <xf numFmtId="10" fontId="0" fillId="0" borderId="0" xfId="0" applyNumberFormat="1" applyAlignment="1">
      <alignment horizontal="right"/>
    </xf>
    <xf numFmtId="0" fontId="3" fillId="0" borderId="0" xfId="0" applyFont="1" applyFill="1" applyBorder="1" applyAlignment="1">
      <alignment horizontal="right"/>
    </xf>
    <xf numFmtId="0" fontId="17" fillId="0" borderId="0" xfId="0" applyFont="1" applyAlignment="1">
      <alignment horizontal="left"/>
    </xf>
    <xf numFmtId="165" fontId="0" fillId="0" borderId="1" xfId="0" applyNumberFormat="1" applyBorder="1"/>
    <xf numFmtId="0" fontId="2" fillId="0" borderId="0" xfId="0" applyFont="1"/>
    <xf numFmtId="0" fontId="2" fillId="0" borderId="0" xfId="0" applyFont="1" applyAlignment="1">
      <alignment horizontal="left"/>
    </xf>
    <xf numFmtId="0" fontId="2" fillId="0" borderId="0" xfId="0" applyFont="1"/>
    <xf numFmtId="0" fontId="4" fillId="0" borderId="0" xfId="0" applyFont="1" applyAlignment="1">
      <alignment horizontal="center"/>
    </xf>
    <xf numFmtId="0" fontId="2" fillId="0" borderId="0" xfId="0" applyFont="1" applyAlignment="1">
      <alignment horizontal="center"/>
    </xf>
    <xf numFmtId="0" fontId="6" fillId="0" borderId="0" xfId="0" applyFont="1" applyAlignment="1">
      <alignment horizontal="center"/>
    </xf>
    <xf numFmtId="0" fontId="8" fillId="0" borderId="0" xfId="0" applyFont="1" applyAlignment="1">
      <alignment horizontal="center"/>
    </xf>
    <xf numFmtId="0" fontId="17" fillId="0" borderId="0" xfId="0" applyFont="1" applyAlignment="1">
      <alignment horizontal="center"/>
    </xf>
  </cellXfs>
  <cellStyles count="1">
    <cellStyle name="Normal" xfId="0" builtinId="0"/>
  </cellStyles>
  <dxfs count="2">
    <dxf>
      <fill>
        <patternFill>
          <bgColor rgb="FF00B050"/>
        </patternFill>
      </fill>
    </dxf>
    <dxf>
      <fill>
        <patternFill>
          <bgColor rgb="FF92D05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1" i="0" u="sng" strike="noStrike" kern="1200" baseline="0">
                <a:solidFill>
                  <a:sysClr val="windowText" lastClr="000000"/>
                </a:solidFill>
                <a:latin typeface="+mn-lt"/>
                <a:ea typeface="+mn-ea"/>
                <a:cs typeface="+mn-cs"/>
              </a:defRPr>
            </a:pPr>
            <a:r>
              <a:rPr lang="en-US" sz="2000" b="1" i="0" u="sng" baseline="0"/>
              <a:t>Predicted Monthly kWh Solar Production - Total (black) and per Array (colored)</a:t>
            </a:r>
            <a:endParaRPr lang="en-US" sz="2000" u="sng" baseline="0"/>
          </a:p>
        </c:rich>
      </c:tx>
      <c:layout>
        <c:manualLayout>
          <c:xMode val="edge"/>
          <c:yMode val="edge"/>
          <c:x val="0.15554783219524959"/>
          <c:y val="5.7559658821398706E-2"/>
        </c:manualLayout>
      </c:layout>
    </c:title>
    <c:plotArea>
      <c:layout>
        <c:manualLayout>
          <c:layoutTarget val="inner"/>
          <c:xMode val="edge"/>
          <c:yMode val="edge"/>
          <c:x val="0"/>
          <c:y val="0.16089168384153324"/>
          <c:w val="0.99897119341563789"/>
          <c:h val="0.78530148496538599"/>
        </c:manualLayout>
      </c:layout>
      <c:barChart>
        <c:barDir val="col"/>
        <c:grouping val="clustered"/>
        <c:ser>
          <c:idx val="3"/>
          <c:order val="0"/>
          <c:tx>
            <c:v>Total</c:v>
          </c:tx>
          <c:spPr>
            <a:solidFill>
              <a:schemeClr val="tx1"/>
            </a:solidFill>
            <a:ln w="38100">
              <a:noFill/>
            </a:ln>
          </c:spP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Prod'!$B$14:$B$25</c:f>
              <c:numCache>
                <c:formatCode>General</c:formatCode>
                <c:ptCount val="12"/>
                <c:pt idx="0">
                  <c:v>444</c:v>
                </c:pt>
                <c:pt idx="1">
                  <c:v>553</c:v>
                </c:pt>
                <c:pt idx="2">
                  <c:v>797</c:v>
                </c:pt>
                <c:pt idx="3">
                  <c:v>921</c:v>
                </c:pt>
                <c:pt idx="4">
                  <c:v>1026</c:v>
                </c:pt>
                <c:pt idx="5">
                  <c:v>1073</c:v>
                </c:pt>
                <c:pt idx="6">
                  <c:v>1009</c:v>
                </c:pt>
                <c:pt idx="7">
                  <c:v>956</c:v>
                </c:pt>
                <c:pt idx="8">
                  <c:v>812</c:v>
                </c:pt>
                <c:pt idx="9">
                  <c:v>620</c:v>
                </c:pt>
                <c:pt idx="10">
                  <c:v>490</c:v>
                </c:pt>
                <c:pt idx="11">
                  <c:v>416</c:v>
                </c:pt>
              </c:numCache>
            </c:numRef>
          </c:val>
        </c:ser>
        <c:ser>
          <c:idx val="6"/>
          <c:order val="1"/>
          <c:tx>
            <c:strRef>
              <c:f>'Pred Prod'!$C$12</c:f>
              <c:strCache>
                <c:ptCount val="1"/>
                <c:pt idx="0">
                  <c:v>2x400@192°</c:v>
                </c:pt>
              </c:strCache>
            </c:strRef>
          </c:tx>
          <c:spPr>
            <a:solidFill>
              <a:srgbClr val="C00000"/>
            </a:solidFill>
            <a:ln w="25400">
              <a:noFill/>
              <a:prstDash val="solid"/>
            </a:ln>
          </c:spP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Prod'!$C$14:$C$25</c:f>
              <c:numCache>
                <c:formatCode>General</c:formatCode>
                <c:ptCount val="12"/>
                <c:pt idx="0">
                  <c:v>75</c:v>
                </c:pt>
                <c:pt idx="1">
                  <c:v>84</c:v>
                </c:pt>
                <c:pt idx="2">
                  <c:v>108</c:v>
                </c:pt>
                <c:pt idx="3">
                  <c:v>114</c:v>
                </c:pt>
                <c:pt idx="4">
                  <c:v>117</c:v>
                </c:pt>
                <c:pt idx="5">
                  <c:v>119</c:v>
                </c:pt>
                <c:pt idx="6">
                  <c:v>115</c:v>
                </c:pt>
                <c:pt idx="7">
                  <c:v>115</c:v>
                </c:pt>
                <c:pt idx="8">
                  <c:v>106</c:v>
                </c:pt>
                <c:pt idx="9">
                  <c:v>91</c:v>
                </c:pt>
                <c:pt idx="10">
                  <c:v>81</c:v>
                </c:pt>
                <c:pt idx="11">
                  <c:v>74</c:v>
                </c:pt>
              </c:numCache>
            </c:numRef>
          </c:val>
        </c:ser>
        <c:ser>
          <c:idx val="5"/>
          <c:order val="2"/>
          <c:tx>
            <c:strRef>
              <c:f>'Pred Prod'!$D$12</c:f>
              <c:strCache>
                <c:ptCount val="1"/>
                <c:pt idx="0">
                  <c:v>8x400@102°</c:v>
                </c:pt>
              </c:strCache>
            </c:strRef>
          </c:tx>
          <c:spPr>
            <a:solidFill>
              <a:srgbClr val="00B050"/>
            </a:solidFill>
            <a:ln w="25400">
              <a:noFill/>
              <a:prstDash val="solid"/>
            </a:ln>
          </c:spP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Prod'!$D$14:$D$25</c:f>
              <c:numCache>
                <c:formatCode>General</c:formatCode>
                <c:ptCount val="12"/>
                <c:pt idx="0">
                  <c:v>208</c:v>
                </c:pt>
                <c:pt idx="1">
                  <c:v>254</c:v>
                </c:pt>
                <c:pt idx="2">
                  <c:v>369</c:v>
                </c:pt>
                <c:pt idx="3">
                  <c:v>422</c:v>
                </c:pt>
                <c:pt idx="4">
                  <c:v>485</c:v>
                </c:pt>
                <c:pt idx="5">
                  <c:v>496</c:v>
                </c:pt>
                <c:pt idx="6">
                  <c:v>488</c:v>
                </c:pt>
                <c:pt idx="7">
                  <c:v>454</c:v>
                </c:pt>
                <c:pt idx="8">
                  <c:v>378</c:v>
                </c:pt>
                <c:pt idx="9">
                  <c:v>287</c:v>
                </c:pt>
                <c:pt idx="10">
                  <c:v>228</c:v>
                </c:pt>
                <c:pt idx="11">
                  <c:v>197</c:v>
                </c:pt>
              </c:numCache>
            </c:numRef>
          </c:val>
        </c:ser>
        <c:ser>
          <c:idx val="0"/>
          <c:order val="3"/>
          <c:tx>
            <c:strRef>
              <c:f>'Pred Prod'!$E$12</c:f>
              <c:strCache>
                <c:ptCount val="1"/>
                <c:pt idx="0">
                  <c:v>8x400@282°</c:v>
                </c:pt>
              </c:strCache>
            </c:strRef>
          </c:tx>
          <c:spPr>
            <a:solidFill>
              <a:schemeClr val="accent1"/>
            </a:solidFill>
            <a:ln>
              <a:noFill/>
            </a:ln>
          </c:spPr>
          <c:val>
            <c:numRef>
              <c:f>'Pred Prod'!$E$14:$E$25</c:f>
              <c:numCache>
                <c:formatCode>General</c:formatCode>
                <c:ptCount val="12"/>
                <c:pt idx="0">
                  <c:v>161</c:v>
                </c:pt>
                <c:pt idx="1">
                  <c:v>215</c:v>
                </c:pt>
                <c:pt idx="2">
                  <c:v>320</c:v>
                </c:pt>
                <c:pt idx="3">
                  <c:v>385</c:v>
                </c:pt>
                <c:pt idx="4">
                  <c:v>424</c:v>
                </c:pt>
                <c:pt idx="5">
                  <c:v>458</c:v>
                </c:pt>
                <c:pt idx="6">
                  <c:v>406</c:v>
                </c:pt>
                <c:pt idx="7">
                  <c:v>387</c:v>
                </c:pt>
                <c:pt idx="8">
                  <c:v>328</c:v>
                </c:pt>
                <c:pt idx="9">
                  <c:v>242</c:v>
                </c:pt>
                <c:pt idx="10">
                  <c:v>181</c:v>
                </c:pt>
                <c:pt idx="11">
                  <c:v>145</c:v>
                </c:pt>
              </c:numCache>
            </c:numRef>
          </c:val>
        </c:ser>
        <c:dLbls>
          <c:showVal val="1"/>
        </c:dLbls>
        <c:overlap val="-25"/>
        <c:axId val="174505984"/>
        <c:axId val="174507520"/>
      </c:barChart>
      <c:catAx>
        <c:axId val="174505984"/>
        <c:scaling>
          <c:orientation val="minMax"/>
        </c:scaling>
        <c:axPos val="b"/>
        <c:majorTickMark val="none"/>
        <c:tickLblPos val="nextTo"/>
        <c:spPr>
          <a:noFill/>
          <a:ln>
            <a:solidFill>
              <a:schemeClr val="tx1"/>
            </a:solidFill>
          </a:ln>
        </c:spPr>
        <c:crossAx val="174507520"/>
        <c:crossesAt val="-300"/>
        <c:auto val="1"/>
        <c:lblAlgn val="ctr"/>
        <c:lblOffset val="100"/>
      </c:catAx>
      <c:valAx>
        <c:axId val="174507520"/>
        <c:scaling>
          <c:orientation val="minMax"/>
          <c:max val="1200"/>
          <c:min val="-300"/>
        </c:scaling>
        <c:delete val="1"/>
        <c:axPos val="l"/>
        <c:numFmt formatCode="General" sourceLinked="1"/>
        <c:majorTickMark val="none"/>
        <c:tickLblPos val="none"/>
        <c:crossAx val="174505984"/>
        <c:crosses val="autoZero"/>
        <c:crossBetween val="between"/>
        <c:majorUnit val="300"/>
      </c:valAx>
    </c:plotArea>
    <c:legend>
      <c:legendPos val="t"/>
      <c:layout>
        <c:manualLayout>
          <c:xMode val="edge"/>
          <c:yMode val="edge"/>
          <c:x val="0.30588827719149242"/>
          <c:y val="0.12935567610456136"/>
          <c:w val="0.37784243587838906"/>
          <c:h val="5.1272877803026327E-2"/>
        </c:manualLayout>
      </c:layout>
      <c:spPr>
        <a:ln>
          <a:noFill/>
          <a:prstDash val="dash"/>
        </a:ln>
      </c:spPr>
      <c:txPr>
        <a:bodyPr/>
        <a:lstStyle/>
        <a:p>
          <a:pPr>
            <a:defRPr sz="1400" baseline="0"/>
          </a:pPr>
          <a:endParaRPr lang="en-US"/>
        </a:p>
      </c:txPr>
    </c:legend>
    <c:plotVisOnly val="1"/>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u="sng"/>
            </a:pPr>
            <a:r>
              <a:rPr lang="en-US" sz="2000" u="sng"/>
              <a:t>Capacity</a:t>
            </a:r>
            <a:r>
              <a:rPr lang="en-US" sz="2000" u="sng" baseline="0"/>
              <a:t> Factor by Month - Total (black) and per Array (colored)</a:t>
            </a:r>
          </a:p>
        </c:rich>
      </c:tx>
      <c:layout/>
    </c:title>
    <c:plotArea>
      <c:layout>
        <c:manualLayout>
          <c:layoutTarget val="inner"/>
          <c:xMode val="edge"/>
          <c:yMode val="edge"/>
          <c:x val="3.1007751937984496E-3"/>
          <c:y val="0.15859958780320257"/>
          <c:w val="0.99483204134366887"/>
          <c:h val="0.7853564445383926"/>
        </c:manualLayout>
      </c:layout>
      <c:barChart>
        <c:barDir val="col"/>
        <c:grouping val="clustered"/>
        <c:ser>
          <c:idx val="3"/>
          <c:order val="0"/>
          <c:tx>
            <c:v>Total</c:v>
          </c:tx>
          <c:spPr>
            <a:solidFill>
              <a:schemeClr val="tx1"/>
            </a:solidFill>
            <a:ln w="38100">
              <a:noFill/>
            </a:ln>
          </c:spP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Prod'!$B$34:$B$45</c:f>
              <c:numCache>
                <c:formatCode>0.0%</c:formatCode>
                <c:ptCount val="12"/>
                <c:pt idx="0">
                  <c:v>8.2885304659498213E-2</c:v>
                </c:pt>
                <c:pt idx="1">
                  <c:v>0.11429398148148148</c:v>
                </c:pt>
                <c:pt idx="2">
                  <c:v>0.14878285543608125</c:v>
                </c:pt>
                <c:pt idx="3">
                  <c:v>0.17766203703703703</c:v>
                </c:pt>
                <c:pt idx="4">
                  <c:v>0.19153225806451613</c:v>
                </c:pt>
                <c:pt idx="5">
                  <c:v>0.20698302469135801</c:v>
                </c:pt>
                <c:pt idx="6">
                  <c:v>0.18835872162485065</c:v>
                </c:pt>
                <c:pt idx="7">
                  <c:v>0.1784647550776583</c:v>
                </c:pt>
                <c:pt idx="8">
                  <c:v>0.1566358024691358</c:v>
                </c:pt>
                <c:pt idx="9">
                  <c:v>0.11574074074074074</c:v>
                </c:pt>
                <c:pt idx="10">
                  <c:v>9.4521604938271608E-2</c:v>
                </c:pt>
                <c:pt idx="11">
                  <c:v>7.765830346475508E-2</c:v>
                </c:pt>
              </c:numCache>
            </c:numRef>
          </c:val>
        </c:ser>
        <c:ser>
          <c:idx val="6"/>
          <c:order val="1"/>
          <c:tx>
            <c:strRef>
              <c:f>'Pred Prod'!$C$12</c:f>
              <c:strCache>
                <c:ptCount val="1"/>
                <c:pt idx="0">
                  <c:v>2x400@192°</c:v>
                </c:pt>
              </c:strCache>
            </c:strRef>
          </c:tx>
          <c:spPr>
            <a:solidFill>
              <a:srgbClr val="C00000"/>
            </a:solidFill>
            <a:ln w="25400">
              <a:noFill/>
              <a:prstDash val="solid"/>
            </a:ln>
          </c:spPr>
          <c:dLbls>
            <c:txPr>
              <a:bodyPr/>
              <a:lstStyle/>
              <a:p>
                <a:pPr>
                  <a:defRPr sz="1000" baseline="0"/>
                </a:pPr>
                <a:endParaRPr lang="en-US"/>
              </a:p>
            </c:txPr>
            <c:showVal val="1"/>
          </c:dLbls>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Prod'!$C$34:$C$45</c:f>
              <c:numCache>
                <c:formatCode>0.0%</c:formatCode>
                <c:ptCount val="12"/>
                <c:pt idx="0">
                  <c:v>0.12600806451612903</c:v>
                </c:pt>
                <c:pt idx="1">
                  <c:v>0.15625</c:v>
                </c:pt>
                <c:pt idx="2">
                  <c:v>0.18145161290322581</c:v>
                </c:pt>
                <c:pt idx="3">
                  <c:v>0.19791666666666666</c:v>
                </c:pt>
                <c:pt idx="4">
                  <c:v>0.19657258064516128</c:v>
                </c:pt>
                <c:pt idx="5">
                  <c:v>0.20659722222222221</c:v>
                </c:pt>
                <c:pt idx="6">
                  <c:v>0.19321236559139784</c:v>
                </c:pt>
                <c:pt idx="7">
                  <c:v>0.19321236559139784</c:v>
                </c:pt>
                <c:pt idx="8">
                  <c:v>0.18402777777777779</c:v>
                </c:pt>
                <c:pt idx="9">
                  <c:v>0.15288978494623656</c:v>
                </c:pt>
                <c:pt idx="10">
                  <c:v>0.140625</c:v>
                </c:pt>
                <c:pt idx="11">
                  <c:v>0.12432795698924731</c:v>
                </c:pt>
              </c:numCache>
            </c:numRef>
          </c:val>
        </c:ser>
        <c:ser>
          <c:idx val="5"/>
          <c:order val="2"/>
          <c:tx>
            <c:strRef>
              <c:f>'Pred Prod'!$D$12</c:f>
              <c:strCache>
                <c:ptCount val="1"/>
                <c:pt idx="0">
                  <c:v>8x400@102°</c:v>
                </c:pt>
              </c:strCache>
            </c:strRef>
          </c:tx>
          <c:spPr>
            <a:solidFill>
              <a:srgbClr val="00B050"/>
            </a:solidFill>
            <a:ln w="25400">
              <a:noFill/>
              <a:prstDash val="solid"/>
            </a:ln>
          </c:spP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Prod'!$D$34:$D$45</c:f>
              <c:numCache>
                <c:formatCode>0.0%</c:formatCode>
                <c:ptCount val="12"/>
                <c:pt idx="0">
                  <c:v>8.7365591397849468E-2</c:v>
                </c:pt>
                <c:pt idx="1">
                  <c:v>0.11811755952380952</c:v>
                </c:pt>
                <c:pt idx="2">
                  <c:v>0.15498991935483872</c:v>
                </c:pt>
                <c:pt idx="3">
                  <c:v>0.18315972222222221</c:v>
                </c:pt>
                <c:pt idx="4">
                  <c:v>0.20371303763440859</c:v>
                </c:pt>
                <c:pt idx="5">
                  <c:v>0.21527777777777779</c:v>
                </c:pt>
                <c:pt idx="6">
                  <c:v>0.2049731182795699</c:v>
                </c:pt>
                <c:pt idx="7">
                  <c:v>0.19069220430107528</c:v>
                </c:pt>
                <c:pt idx="8">
                  <c:v>0.1640625</c:v>
                </c:pt>
                <c:pt idx="9">
                  <c:v>0.12054771505376344</c:v>
                </c:pt>
                <c:pt idx="10">
                  <c:v>9.8958333333333329E-2</c:v>
                </c:pt>
                <c:pt idx="11">
                  <c:v>8.2745295698924734E-2</c:v>
                </c:pt>
              </c:numCache>
            </c:numRef>
          </c:val>
        </c:ser>
        <c:ser>
          <c:idx val="0"/>
          <c:order val="3"/>
          <c:tx>
            <c:strRef>
              <c:f>'Pred Prod'!$E$12</c:f>
              <c:strCache>
                <c:ptCount val="1"/>
                <c:pt idx="0">
                  <c:v>8x400@282°</c:v>
                </c:pt>
              </c:strCache>
            </c:strRef>
          </c:tx>
          <c:spPr>
            <a:solidFill>
              <a:srgbClr val="0070C0"/>
            </a:solidFill>
            <a:ln>
              <a:noFill/>
            </a:ln>
          </c:spPr>
          <c:val>
            <c:numRef>
              <c:f>'Pred Prod'!$E$34:$E$45</c:f>
              <c:numCache>
                <c:formatCode>0.0%</c:formatCode>
                <c:ptCount val="12"/>
                <c:pt idx="0">
                  <c:v>6.762432795698925E-2</c:v>
                </c:pt>
                <c:pt idx="1">
                  <c:v>9.9981398809523808E-2</c:v>
                </c:pt>
                <c:pt idx="2">
                  <c:v>0.13440860215053763</c:v>
                </c:pt>
                <c:pt idx="3">
                  <c:v>0.16710069444444445</c:v>
                </c:pt>
                <c:pt idx="4">
                  <c:v>0.17809139784946237</c:v>
                </c:pt>
                <c:pt idx="5">
                  <c:v>0.19878472222222221</c:v>
                </c:pt>
                <c:pt idx="6">
                  <c:v>0.17053091397849462</c:v>
                </c:pt>
                <c:pt idx="7">
                  <c:v>0.16255040322580644</c:v>
                </c:pt>
                <c:pt idx="8">
                  <c:v>0.1423611111111111</c:v>
                </c:pt>
                <c:pt idx="9">
                  <c:v>0.10164650537634409</c:v>
                </c:pt>
                <c:pt idx="10">
                  <c:v>7.8559027777777776E-2</c:v>
                </c:pt>
                <c:pt idx="11">
                  <c:v>6.0903897849462367E-2</c:v>
                </c:pt>
              </c:numCache>
            </c:numRef>
          </c:val>
        </c:ser>
        <c:dLbls>
          <c:showVal val="1"/>
        </c:dLbls>
        <c:overlap val="-25"/>
        <c:axId val="174466560"/>
        <c:axId val="174468096"/>
      </c:barChart>
      <c:catAx>
        <c:axId val="174466560"/>
        <c:scaling>
          <c:orientation val="minMax"/>
        </c:scaling>
        <c:axPos val="b"/>
        <c:majorTickMark val="none"/>
        <c:tickLblPos val="nextTo"/>
        <c:spPr>
          <a:ln>
            <a:solidFill>
              <a:schemeClr val="tx1"/>
            </a:solidFill>
          </a:ln>
        </c:spPr>
        <c:crossAx val="174468096"/>
        <c:crossesAt val="-300"/>
        <c:auto val="1"/>
        <c:lblAlgn val="ctr"/>
        <c:lblOffset val="100"/>
      </c:catAx>
      <c:valAx>
        <c:axId val="174468096"/>
        <c:scaling>
          <c:orientation val="minMax"/>
          <c:max val="0.25"/>
          <c:min val="0"/>
        </c:scaling>
        <c:delete val="1"/>
        <c:axPos val="l"/>
        <c:numFmt formatCode="0.0%" sourceLinked="1"/>
        <c:majorTickMark val="none"/>
        <c:tickLblPos val="none"/>
        <c:crossAx val="174466560"/>
        <c:crosses val="autoZero"/>
        <c:crossBetween val="between"/>
        <c:majorUnit val="0.05"/>
      </c:valAx>
    </c:plotArea>
    <c:legend>
      <c:legendPos val="t"/>
      <c:layout>
        <c:manualLayout>
          <c:xMode val="edge"/>
          <c:yMode val="edge"/>
          <c:x val="0.30513048717927854"/>
          <c:y val="0.10508957353485177"/>
          <c:w val="0.37525588515499692"/>
          <c:h val="5.1272877803026327E-2"/>
        </c:manualLayout>
      </c:layout>
      <c:txPr>
        <a:bodyPr/>
        <a:lstStyle/>
        <a:p>
          <a:pPr>
            <a:defRPr sz="1400" baseline="0"/>
          </a:pPr>
          <a:endParaRPr lang="en-US"/>
        </a:p>
      </c:txPr>
    </c:legend>
    <c:plotVisOnly val="1"/>
  </c:chart>
  <c:spPr>
    <a:ln>
      <a:noFill/>
    </a:ln>
  </c:spPr>
  <c:printSettings>
    <c:headerFooter/>
    <c:pageMargins b="0.75000000000000566" l="0.70000000000000062" r="0.70000000000000062" t="0.750000000000005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marL="0" marR="0" indent="0" algn="l"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sz="2000" b="1" i="0" baseline="0"/>
              <a:t>Solar Production (solid), Home Usage (dashed), and Net (dotted) in Kilowatt-hours</a:t>
            </a:r>
            <a:endParaRPr lang="en-US" sz="2000" baseline="0"/>
          </a:p>
        </c:rich>
      </c:tx>
      <c:layout>
        <c:manualLayout>
          <c:xMode val="edge"/>
          <c:yMode val="edge"/>
          <c:x val="0.13202378370705664"/>
          <c:y val="4.6882918704929326E-2"/>
        </c:manualLayout>
      </c:layout>
    </c:title>
    <c:plotArea>
      <c:layout>
        <c:manualLayout>
          <c:layoutTarget val="inner"/>
          <c:xMode val="edge"/>
          <c:yMode val="edge"/>
          <c:x val="6.3188510339964588E-2"/>
          <c:y val="0.13209162808137354"/>
          <c:w val="0.82632150137177274"/>
          <c:h val="0.81538617846465955"/>
        </c:manualLayout>
      </c:layout>
      <c:lineChart>
        <c:grouping val="standard"/>
        <c:ser>
          <c:idx val="9"/>
          <c:order val="0"/>
          <c:tx>
            <c:v>2021 Usage</c:v>
          </c:tx>
          <c:spPr>
            <a:ln w="25400">
              <a:solidFill>
                <a:srgbClr val="92D050"/>
              </a:solidFill>
              <a:prstDash val="dash"/>
            </a:ln>
          </c:spPr>
          <c:marker>
            <c:symbol val="diamond"/>
            <c:size val="5"/>
            <c:spPr>
              <a:solidFill>
                <a:srgbClr val="92D050"/>
              </a:solidFill>
              <a:ln>
                <a:solidFill>
                  <a:srgbClr val="92D050"/>
                </a:solidFill>
              </a:ln>
            </c:spPr>
          </c:marker>
          <c:val>
            <c:numRef>
              <c:f>'Elec &amp; Gas Data'!$F$58:$F$69</c:f>
              <c:numCache>
                <c:formatCode>General</c:formatCode>
                <c:ptCount val="12"/>
                <c:pt idx="0">
                  <c:v>635</c:v>
                </c:pt>
                <c:pt idx="1">
                  <c:v>566</c:v>
                </c:pt>
                <c:pt idx="2">
                  <c:v>549</c:v>
                </c:pt>
                <c:pt idx="3">
                  <c:v>482</c:v>
                </c:pt>
                <c:pt idx="4">
                  <c:v>462</c:v>
                </c:pt>
                <c:pt idx="5">
                  <c:v>876</c:v>
                </c:pt>
                <c:pt idx="6">
                  <c:v>940</c:v>
                </c:pt>
                <c:pt idx="7">
                  <c:v>811</c:v>
                </c:pt>
                <c:pt idx="8">
                  <c:v>706</c:v>
                </c:pt>
                <c:pt idx="9">
                  <c:v>403</c:v>
                </c:pt>
                <c:pt idx="10">
                  <c:v>533</c:v>
                </c:pt>
                <c:pt idx="11">
                  <c:v>649</c:v>
                </c:pt>
              </c:numCache>
            </c:numRef>
          </c:val>
        </c:ser>
        <c:ser>
          <c:idx val="8"/>
          <c:order val="1"/>
          <c:tx>
            <c:v>2022 Usage</c:v>
          </c:tx>
          <c:spPr>
            <a:ln w="25400">
              <a:solidFill>
                <a:srgbClr val="00B050"/>
              </a:solidFill>
              <a:prstDash val="dash"/>
            </a:ln>
            <a:effectLst/>
          </c:spPr>
          <c:marker>
            <c:symbol val="diamond"/>
            <c:size val="5"/>
            <c:spPr>
              <a:solidFill>
                <a:srgbClr val="00B050"/>
              </a:solidFill>
              <a:ln>
                <a:solidFill>
                  <a:srgbClr val="00B050"/>
                </a:solidFill>
              </a:ln>
              <a:effectLst/>
            </c:spPr>
          </c:marker>
          <c:val>
            <c:numRef>
              <c:f>'Elec &amp; Gas Data'!$O$58:$O$69</c:f>
              <c:numCache>
                <c:formatCode>General</c:formatCode>
                <c:ptCount val="12"/>
                <c:pt idx="0">
                  <c:v>505</c:v>
                </c:pt>
                <c:pt idx="1">
                  <c:v>516</c:v>
                </c:pt>
                <c:pt idx="2">
                  <c:v>433</c:v>
                </c:pt>
                <c:pt idx="3">
                  <c:v>347</c:v>
                </c:pt>
                <c:pt idx="4">
                  <c:v>393</c:v>
                </c:pt>
                <c:pt idx="5">
                  <c:v>626</c:v>
                </c:pt>
                <c:pt idx="6">
                  <c:v>811</c:v>
                </c:pt>
                <c:pt idx="7">
                  <c:v>995</c:v>
                </c:pt>
                <c:pt idx="8">
                  <c:v>599</c:v>
                </c:pt>
                <c:pt idx="9">
                  <c:v>358</c:v>
                </c:pt>
                <c:pt idx="10">
                  <c:v>452</c:v>
                </c:pt>
                <c:pt idx="11">
                  <c:v>665</c:v>
                </c:pt>
              </c:numCache>
            </c:numRef>
          </c:val>
        </c:ser>
        <c:ser>
          <c:idx val="2"/>
          <c:order val="2"/>
          <c:tx>
            <c:v>2023 Usage</c:v>
          </c:tx>
          <c:spPr>
            <a:ln w="25400">
              <a:solidFill>
                <a:srgbClr val="FFC000"/>
              </a:solidFill>
              <a:prstDash val="dash"/>
            </a:ln>
          </c:spPr>
          <c:marker>
            <c:symbol val="diamond"/>
            <c:size val="5"/>
            <c:spPr>
              <a:solidFill>
                <a:srgbClr val="FFC000"/>
              </a:solidFill>
              <a:ln>
                <a:solidFill>
                  <a:srgbClr val="FFC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Data'!$X$58:$X$69</c:f>
              <c:numCache>
                <c:formatCode>General</c:formatCode>
                <c:ptCount val="12"/>
                <c:pt idx="0">
                  <c:v>495</c:v>
                </c:pt>
                <c:pt idx="1">
                  <c:v>444</c:v>
                </c:pt>
                <c:pt idx="2">
                  <c:v>411</c:v>
                </c:pt>
                <c:pt idx="3">
                  <c:v>356</c:v>
                </c:pt>
                <c:pt idx="4">
                  <c:v>350</c:v>
                </c:pt>
                <c:pt idx="5">
                  <c:v>355</c:v>
                </c:pt>
                <c:pt idx="6">
                  <c:v>734</c:v>
                </c:pt>
                <c:pt idx="7">
                  <c:v>654</c:v>
                </c:pt>
                <c:pt idx="8">
                  <c:v>364</c:v>
                </c:pt>
                <c:pt idx="9">
                  <c:v>392</c:v>
                </c:pt>
                <c:pt idx="10">
                  <c:v>419</c:v>
                </c:pt>
                <c:pt idx="11">
                  <c:v>616</c:v>
                </c:pt>
              </c:numCache>
            </c:numRef>
          </c:val>
        </c:ser>
        <c:ser>
          <c:idx val="1"/>
          <c:order val="3"/>
          <c:tx>
            <c:v>2023 Solar</c:v>
          </c:tx>
          <c:spPr>
            <a:ln w="25400">
              <a:solidFill>
                <a:srgbClr val="FFC000"/>
              </a:solidFill>
            </a:ln>
          </c:spPr>
          <c:marker>
            <c:symbol val="diamond"/>
            <c:size val="5"/>
            <c:spPr>
              <a:solidFill>
                <a:srgbClr val="FFC000"/>
              </a:solidFill>
              <a:ln>
                <a:solidFill>
                  <a:srgbClr val="FFC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Data'!$G$34:$G$45</c:f>
              <c:numCache>
                <c:formatCode>General</c:formatCode>
                <c:ptCount val="12"/>
                <c:pt idx="8">
                  <c:v>897</c:v>
                </c:pt>
                <c:pt idx="9">
                  <c:v>619</c:v>
                </c:pt>
                <c:pt idx="10">
                  <c:v>389</c:v>
                </c:pt>
                <c:pt idx="11">
                  <c:v>327</c:v>
                </c:pt>
              </c:numCache>
            </c:numRef>
          </c:val>
        </c:ser>
        <c:ser>
          <c:idx val="5"/>
          <c:order val="4"/>
          <c:tx>
            <c:v>2023 Net</c:v>
          </c:tx>
          <c:spPr>
            <a:ln w="25400">
              <a:solidFill>
                <a:srgbClr val="FFC000"/>
              </a:solidFill>
              <a:prstDash val="sysDot"/>
            </a:ln>
          </c:spPr>
          <c:marker>
            <c:symbol val="diamond"/>
            <c:size val="5"/>
            <c:spPr>
              <a:solidFill>
                <a:srgbClr val="FFC000"/>
              </a:solidFill>
              <a:ln>
                <a:solidFill>
                  <a:srgbClr val="FFC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Data'!$H$34:$H$45</c:f>
              <c:numCache>
                <c:formatCode>General</c:formatCode>
                <c:ptCount val="12"/>
                <c:pt idx="8">
                  <c:v>533</c:v>
                </c:pt>
                <c:pt idx="9">
                  <c:v>227</c:v>
                </c:pt>
                <c:pt idx="10">
                  <c:v>-30</c:v>
                </c:pt>
                <c:pt idx="11">
                  <c:v>-289</c:v>
                </c:pt>
              </c:numCache>
            </c:numRef>
          </c:val>
        </c:ser>
        <c:ser>
          <c:idx val="4"/>
          <c:order val="5"/>
          <c:tx>
            <c:v>2024 Usage</c:v>
          </c:tx>
          <c:spPr>
            <a:ln w="25400">
              <a:solidFill>
                <a:srgbClr val="C00000"/>
              </a:solidFill>
              <a:prstDash val="dash"/>
            </a:ln>
          </c:spPr>
          <c:marker>
            <c:symbol val="diamond"/>
            <c:size val="5"/>
            <c:spPr>
              <a:solidFill>
                <a:srgbClr val="FF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Data'!$O$34:$O$45</c:f>
              <c:numCache>
                <c:formatCode>General</c:formatCode>
                <c:ptCount val="12"/>
                <c:pt idx="0">
                  <c:v>539</c:v>
                </c:pt>
                <c:pt idx="1">
                  <c:v>376</c:v>
                </c:pt>
                <c:pt idx="2">
                  <c:v>367</c:v>
                </c:pt>
                <c:pt idx="3">
                  <c:v>353</c:v>
                </c:pt>
                <c:pt idx="4">
                  <c:v>401</c:v>
                </c:pt>
                <c:pt idx="5">
                  <c:v>709</c:v>
                </c:pt>
                <c:pt idx="6">
                  <c:v>787</c:v>
                </c:pt>
                <c:pt idx="7">
                  <c:v>794</c:v>
                </c:pt>
              </c:numCache>
            </c:numRef>
          </c:val>
        </c:ser>
        <c:ser>
          <c:idx val="0"/>
          <c:order val="6"/>
          <c:tx>
            <c:v>2024 Solar</c:v>
          </c:tx>
          <c:spPr>
            <a:ln w="25400">
              <a:solidFill>
                <a:srgbClr val="C00000"/>
              </a:solidFill>
            </a:ln>
          </c:spPr>
          <c:marker>
            <c:symbol val="diamond"/>
            <c:size val="5"/>
            <c:spPr>
              <a:solidFill>
                <a:srgbClr val="C0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Data'!$P$34:$P$45</c:f>
              <c:numCache>
                <c:formatCode>General</c:formatCode>
                <c:ptCount val="12"/>
                <c:pt idx="0">
                  <c:v>343</c:v>
                </c:pt>
                <c:pt idx="1">
                  <c:v>430</c:v>
                </c:pt>
                <c:pt idx="2">
                  <c:v>668</c:v>
                </c:pt>
                <c:pt idx="3">
                  <c:v>937</c:v>
                </c:pt>
                <c:pt idx="4">
                  <c:v>1186</c:v>
                </c:pt>
                <c:pt idx="5">
                  <c:v>1058</c:v>
                </c:pt>
                <c:pt idx="6">
                  <c:v>1092</c:v>
                </c:pt>
                <c:pt idx="7">
                  <c:v>904</c:v>
                </c:pt>
              </c:numCache>
            </c:numRef>
          </c:val>
        </c:ser>
        <c:ser>
          <c:idx val="6"/>
          <c:order val="7"/>
          <c:tx>
            <c:v>2024 Net</c:v>
          </c:tx>
          <c:spPr>
            <a:ln w="25400">
              <a:solidFill>
                <a:srgbClr val="C00000"/>
              </a:solidFill>
              <a:prstDash val="sysDot"/>
            </a:ln>
          </c:spPr>
          <c:marker>
            <c:symbol val="diamond"/>
            <c:size val="5"/>
            <c:spPr>
              <a:solidFill>
                <a:srgbClr val="C0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Data'!$Q$34:$Q$45</c:f>
              <c:numCache>
                <c:formatCode>General</c:formatCode>
                <c:ptCount val="12"/>
                <c:pt idx="0">
                  <c:v>-196</c:v>
                </c:pt>
                <c:pt idx="1">
                  <c:v>54</c:v>
                </c:pt>
                <c:pt idx="2">
                  <c:v>301</c:v>
                </c:pt>
                <c:pt idx="3">
                  <c:v>584</c:v>
                </c:pt>
                <c:pt idx="4">
                  <c:v>785</c:v>
                </c:pt>
                <c:pt idx="5">
                  <c:v>349</c:v>
                </c:pt>
                <c:pt idx="6">
                  <c:v>305</c:v>
                </c:pt>
                <c:pt idx="7">
                  <c:v>110</c:v>
                </c:pt>
              </c:numCache>
            </c:numRef>
          </c:val>
        </c:ser>
        <c:ser>
          <c:idx val="3"/>
          <c:order val="8"/>
          <c:tx>
            <c:v>Solar Predicted</c:v>
          </c:tx>
          <c:spPr>
            <a:ln w="38100">
              <a:solidFill>
                <a:schemeClr val="tx1"/>
              </a:solidFill>
            </a:ln>
          </c:spPr>
          <c:marker>
            <c:symbol val="diamond"/>
            <c:size val="10"/>
            <c:spPr>
              <a:solidFill>
                <a:schemeClr val="tx1"/>
              </a:solidFill>
              <a:ln>
                <a:solidFill>
                  <a:schemeClr val="tx1"/>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'Pred Prod'!$B$14:$B$25</c:f>
              <c:numCache>
                <c:formatCode>General</c:formatCode>
                <c:ptCount val="12"/>
                <c:pt idx="0">
                  <c:v>444</c:v>
                </c:pt>
                <c:pt idx="1">
                  <c:v>553</c:v>
                </c:pt>
                <c:pt idx="2">
                  <c:v>797</c:v>
                </c:pt>
                <c:pt idx="3">
                  <c:v>921</c:v>
                </c:pt>
                <c:pt idx="4">
                  <c:v>1026</c:v>
                </c:pt>
                <c:pt idx="5">
                  <c:v>1073</c:v>
                </c:pt>
                <c:pt idx="6">
                  <c:v>1009</c:v>
                </c:pt>
                <c:pt idx="7">
                  <c:v>956</c:v>
                </c:pt>
                <c:pt idx="8">
                  <c:v>812</c:v>
                </c:pt>
                <c:pt idx="9">
                  <c:v>620</c:v>
                </c:pt>
                <c:pt idx="10">
                  <c:v>490</c:v>
                </c:pt>
                <c:pt idx="11">
                  <c:v>416</c:v>
                </c:pt>
              </c:numCache>
            </c:numRef>
          </c:val>
        </c:ser>
        <c:marker val="1"/>
        <c:axId val="174789376"/>
        <c:axId val="174790912"/>
      </c:lineChart>
      <c:catAx>
        <c:axId val="174789376"/>
        <c:scaling>
          <c:orientation val="minMax"/>
        </c:scaling>
        <c:axPos val="b"/>
        <c:majorGridlines/>
        <c:title>
          <c:tx>
            <c:rich>
              <a:bodyPr/>
              <a:lstStyle/>
              <a:p>
                <a:pPr>
                  <a:defRPr/>
                </a:pPr>
                <a:endParaRPr lang="en-US"/>
              </a:p>
              <a:p>
                <a:pPr>
                  <a:defRPr/>
                </a:pPr>
                <a:endParaRPr lang="en-US"/>
              </a:p>
            </c:rich>
          </c:tx>
          <c:layout/>
        </c:title>
        <c:tickLblPos val="nextTo"/>
        <c:crossAx val="174790912"/>
        <c:crossesAt val="-300"/>
        <c:auto val="1"/>
        <c:lblAlgn val="ctr"/>
        <c:lblOffset val="100"/>
      </c:catAx>
      <c:valAx>
        <c:axId val="174790912"/>
        <c:scaling>
          <c:orientation val="minMax"/>
          <c:max val="1200"/>
          <c:min val="-300"/>
        </c:scaling>
        <c:axPos val="l"/>
        <c:majorGridlines/>
        <c:numFmt formatCode="General" sourceLinked="1"/>
        <c:tickLblPos val="low"/>
        <c:crossAx val="174789376"/>
        <c:crosses val="autoZero"/>
        <c:crossBetween val="midCat"/>
        <c:majorUnit val="300"/>
      </c:valAx>
    </c:plotArea>
    <c:legend>
      <c:legendPos val="tr"/>
      <c:layout>
        <c:manualLayout>
          <c:xMode val="edge"/>
          <c:yMode val="edge"/>
          <c:x val="0.89719899011594217"/>
          <c:y val="0.11037713309092147"/>
          <c:w val="9.7617127503941012E-2"/>
          <c:h val="0.48227291356022434"/>
        </c:manualLayout>
      </c:layout>
      <c:spPr>
        <a:ln>
          <a:noFill/>
          <a:prstDash val="dash"/>
        </a:ln>
      </c:spPr>
    </c:legend>
    <c:plotVisOnly val="1"/>
  </c:chart>
  <c:spPr>
    <a:ln>
      <a:noFill/>
    </a:ln>
  </c:spPr>
  <c:printSettings>
    <c:headerFooter/>
    <c:pageMargins b="0.75000000000000522" l="0.70000000000000062" r="0.70000000000000062" t="0.7500000000000052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marL="0" marR="0" indent="0" algn="l"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solidFill>
                <a:latin typeface="+mn-lt"/>
                <a:ea typeface="+mn-ea"/>
                <a:cs typeface="+mn-cs"/>
              </a:defRPr>
            </a:pPr>
            <a:r>
              <a:rPr lang="en-US" sz="2000" b="1" i="0" baseline="0"/>
              <a:t>Kilowatt-hours (solid) &amp; Therms (dashed) Usage and Heating &amp; Cooling Day (dotted)</a:t>
            </a:r>
            <a:endParaRPr lang="en-US" sz="2000" baseline="0"/>
          </a:p>
        </c:rich>
      </c:tx>
      <c:layout>
        <c:manualLayout>
          <c:xMode val="edge"/>
          <c:yMode val="edge"/>
          <c:x val="0.10747829801033786"/>
          <c:y val="4.2453239856646119E-2"/>
        </c:manualLayout>
      </c:layout>
    </c:title>
    <c:plotArea>
      <c:layout>
        <c:manualLayout>
          <c:layoutTarget val="inner"/>
          <c:xMode val="edge"/>
          <c:yMode val="edge"/>
          <c:x val="4.0543096801327193E-2"/>
          <c:y val="0.12987680697462037"/>
          <c:w val="0.83352682658854382"/>
          <c:h val="0.81538617846465933"/>
        </c:manualLayout>
      </c:layout>
      <c:lineChart>
        <c:grouping val="standard"/>
        <c:ser>
          <c:idx val="1"/>
          <c:order val="0"/>
          <c:tx>
            <c:v>2021 kWh</c:v>
          </c:tx>
          <c:spPr>
            <a:ln w="25400">
              <a:solidFill>
                <a:srgbClr val="92D050"/>
              </a:solidFill>
            </a:ln>
          </c:spPr>
          <c:marker>
            <c:symbol val="diamond"/>
            <c:size val="5"/>
            <c:spPr>
              <a:solidFill>
                <a:srgbClr val="92D050"/>
              </a:solidFill>
              <a:ln>
                <a:solidFill>
                  <a:srgbClr val="92D050"/>
                </a:solidFill>
              </a:ln>
            </c:spPr>
          </c:marker>
          <c:val>
            <c:numRef>
              <c:f>'Elec &amp; Gas Data'!$F$58:$F$69</c:f>
              <c:numCache>
                <c:formatCode>General</c:formatCode>
                <c:ptCount val="12"/>
                <c:pt idx="0">
                  <c:v>635</c:v>
                </c:pt>
                <c:pt idx="1">
                  <c:v>566</c:v>
                </c:pt>
                <c:pt idx="2">
                  <c:v>549</c:v>
                </c:pt>
                <c:pt idx="3">
                  <c:v>482</c:v>
                </c:pt>
                <c:pt idx="4">
                  <c:v>462</c:v>
                </c:pt>
                <c:pt idx="5">
                  <c:v>876</c:v>
                </c:pt>
                <c:pt idx="6">
                  <c:v>940</c:v>
                </c:pt>
                <c:pt idx="7">
                  <c:v>811</c:v>
                </c:pt>
                <c:pt idx="8">
                  <c:v>706</c:v>
                </c:pt>
                <c:pt idx="9">
                  <c:v>403</c:v>
                </c:pt>
                <c:pt idx="10">
                  <c:v>533</c:v>
                </c:pt>
                <c:pt idx="11">
                  <c:v>649</c:v>
                </c:pt>
              </c:numCache>
            </c:numRef>
          </c:val>
        </c:ser>
        <c:ser>
          <c:idx val="3"/>
          <c:order val="1"/>
          <c:tx>
            <c:v>2021 Cooling</c:v>
          </c:tx>
          <c:spPr>
            <a:ln w="25400">
              <a:solidFill>
                <a:srgbClr val="92D050"/>
              </a:solidFill>
              <a:prstDash val="sysDot"/>
            </a:ln>
          </c:spPr>
          <c:marker>
            <c:symbol val="diamond"/>
            <c:size val="5"/>
            <c:spPr>
              <a:solidFill>
                <a:srgbClr val="92D050"/>
              </a:solidFill>
              <a:ln>
                <a:solidFill>
                  <a:srgbClr val="92D050"/>
                </a:solidFill>
              </a:ln>
            </c:spPr>
          </c:marker>
          <c:val>
            <c:numRef>
              <c:f>'Elec &amp; Gas Data'!$E$58:$E$69</c:f>
              <c:numCache>
                <c:formatCode>General</c:formatCode>
                <c:ptCount val="12"/>
                <c:pt idx="0">
                  <c:v>0</c:v>
                </c:pt>
                <c:pt idx="1">
                  <c:v>0</c:v>
                </c:pt>
                <c:pt idx="2">
                  <c:v>0</c:v>
                </c:pt>
                <c:pt idx="3">
                  <c:v>0</c:v>
                </c:pt>
                <c:pt idx="4">
                  <c:v>1</c:v>
                </c:pt>
                <c:pt idx="5">
                  <c:v>209</c:v>
                </c:pt>
                <c:pt idx="6">
                  <c:v>361</c:v>
                </c:pt>
                <c:pt idx="7">
                  <c:v>327</c:v>
                </c:pt>
                <c:pt idx="8">
                  <c:v>189</c:v>
                </c:pt>
                <c:pt idx="9">
                  <c:v>1</c:v>
                </c:pt>
                <c:pt idx="10">
                  <c:v>0</c:v>
                </c:pt>
                <c:pt idx="11">
                  <c:v>0</c:v>
                </c:pt>
              </c:numCache>
            </c:numRef>
          </c:val>
        </c:ser>
        <c:ser>
          <c:idx val="5"/>
          <c:order val="2"/>
          <c:tx>
            <c:v>2021 Heating</c:v>
          </c:tx>
          <c:spPr>
            <a:ln w="25400">
              <a:solidFill>
                <a:srgbClr val="92D050"/>
              </a:solidFill>
              <a:prstDash val="sysDash"/>
            </a:ln>
          </c:spPr>
          <c:marker>
            <c:symbol val="diamond"/>
            <c:size val="5"/>
            <c:spPr>
              <a:solidFill>
                <a:srgbClr val="92D050"/>
              </a:solidFill>
              <a:ln>
                <a:solidFill>
                  <a:srgbClr val="92D050"/>
                </a:solidFill>
              </a:ln>
            </c:spPr>
          </c:marker>
          <c:val>
            <c:numRef>
              <c:f>'Elec &amp; Gas Data'!$D$58:$D$69</c:f>
              <c:numCache>
                <c:formatCode>General</c:formatCode>
                <c:ptCount val="12"/>
                <c:pt idx="0">
                  <c:v>1034</c:v>
                </c:pt>
                <c:pt idx="1">
                  <c:v>1086</c:v>
                </c:pt>
                <c:pt idx="2">
                  <c:v>848</c:v>
                </c:pt>
                <c:pt idx="3">
                  <c:v>608</c:v>
                </c:pt>
                <c:pt idx="4">
                  <c:v>296</c:v>
                </c:pt>
                <c:pt idx="5">
                  <c:v>22</c:v>
                </c:pt>
                <c:pt idx="6">
                  <c:v>0</c:v>
                </c:pt>
                <c:pt idx="7">
                  <c:v>0</c:v>
                </c:pt>
                <c:pt idx="8">
                  <c:v>37</c:v>
                </c:pt>
                <c:pt idx="9">
                  <c:v>327</c:v>
                </c:pt>
                <c:pt idx="10">
                  <c:v>598</c:v>
                </c:pt>
                <c:pt idx="11">
                  <c:v>868</c:v>
                </c:pt>
              </c:numCache>
            </c:numRef>
          </c:val>
        </c:ser>
        <c:ser>
          <c:idx val="7"/>
          <c:order val="3"/>
          <c:tx>
            <c:v>2021 Therms</c:v>
          </c:tx>
          <c:spPr>
            <a:ln w="25400">
              <a:solidFill>
                <a:srgbClr val="92D050"/>
              </a:solidFill>
              <a:prstDash val="dash"/>
            </a:ln>
          </c:spPr>
          <c:marker>
            <c:symbol val="diamond"/>
            <c:size val="5"/>
            <c:spPr>
              <a:solidFill>
                <a:srgbClr val="92D050"/>
              </a:solidFill>
              <a:ln>
                <a:solidFill>
                  <a:srgbClr val="92D050"/>
                </a:solidFill>
              </a:ln>
            </c:spPr>
          </c:marker>
          <c:val>
            <c:numRef>
              <c:f>'Elec &amp; Gas Data'!$C$58:$C$69</c:f>
              <c:numCache>
                <c:formatCode>General</c:formatCode>
                <c:ptCount val="12"/>
                <c:pt idx="0">
                  <c:v>184</c:v>
                </c:pt>
                <c:pt idx="1">
                  <c:v>221</c:v>
                </c:pt>
                <c:pt idx="2">
                  <c:v>121</c:v>
                </c:pt>
                <c:pt idx="3">
                  <c:v>83</c:v>
                </c:pt>
                <c:pt idx="4">
                  <c:v>31</c:v>
                </c:pt>
                <c:pt idx="5">
                  <c:v>11</c:v>
                </c:pt>
                <c:pt idx="6">
                  <c:v>10</c:v>
                </c:pt>
                <c:pt idx="7">
                  <c:v>6</c:v>
                </c:pt>
                <c:pt idx="8">
                  <c:v>7</c:v>
                </c:pt>
                <c:pt idx="9">
                  <c:v>26</c:v>
                </c:pt>
                <c:pt idx="10">
                  <c:v>79</c:v>
                </c:pt>
                <c:pt idx="11">
                  <c:v>160</c:v>
                </c:pt>
              </c:numCache>
            </c:numRef>
          </c:val>
        </c:ser>
        <c:ser>
          <c:idx val="8"/>
          <c:order val="4"/>
          <c:tx>
            <c:v>2022 kWh</c:v>
          </c:tx>
          <c:spPr>
            <a:ln w="25400">
              <a:solidFill>
                <a:srgbClr val="00B050"/>
              </a:solidFill>
              <a:prstDash val="solid"/>
            </a:ln>
            <a:effectLst/>
          </c:spPr>
          <c:marker>
            <c:symbol val="diamond"/>
            <c:size val="5"/>
            <c:spPr>
              <a:solidFill>
                <a:srgbClr val="00B050"/>
              </a:solidFill>
              <a:ln>
                <a:solidFill>
                  <a:srgbClr val="00B050"/>
                </a:solidFill>
              </a:ln>
              <a:effectLst/>
            </c:spPr>
          </c:marker>
          <c:val>
            <c:numRef>
              <c:f>'Elec &amp; Gas Data'!$O$58:$O$69</c:f>
              <c:numCache>
                <c:formatCode>General</c:formatCode>
                <c:ptCount val="12"/>
                <c:pt idx="0">
                  <c:v>505</c:v>
                </c:pt>
                <c:pt idx="1">
                  <c:v>516</c:v>
                </c:pt>
                <c:pt idx="2">
                  <c:v>433</c:v>
                </c:pt>
                <c:pt idx="3">
                  <c:v>347</c:v>
                </c:pt>
                <c:pt idx="4">
                  <c:v>393</c:v>
                </c:pt>
                <c:pt idx="5">
                  <c:v>626</c:v>
                </c:pt>
                <c:pt idx="6">
                  <c:v>811</c:v>
                </c:pt>
                <c:pt idx="7">
                  <c:v>995</c:v>
                </c:pt>
                <c:pt idx="8">
                  <c:v>599</c:v>
                </c:pt>
                <c:pt idx="9">
                  <c:v>358</c:v>
                </c:pt>
                <c:pt idx="10">
                  <c:v>452</c:v>
                </c:pt>
                <c:pt idx="11">
                  <c:v>665</c:v>
                </c:pt>
              </c:numCache>
            </c:numRef>
          </c:val>
        </c:ser>
        <c:ser>
          <c:idx val="9"/>
          <c:order val="5"/>
          <c:tx>
            <c:v>2022 Cooling</c:v>
          </c:tx>
          <c:spPr>
            <a:ln>
              <a:solidFill>
                <a:srgbClr val="00B050"/>
              </a:solidFill>
              <a:prstDash val="sysDot"/>
            </a:ln>
          </c:spPr>
          <c:marker>
            <c:symbol val="diamond"/>
            <c:size val="5"/>
            <c:spPr>
              <a:solidFill>
                <a:srgbClr val="00B050"/>
              </a:solidFill>
              <a:ln>
                <a:solidFill>
                  <a:srgbClr val="00B050"/>
                </a:solidFill>
              </a:ln>
            </c:spPr>
          </c:marker>
          <c:val>
            <c:numRef>
              <c:f>'Elec &amp; Gas Data'!$N$58:$N$69</c:f>
              <c:numCache>
                <c:formatCode>General</c:formatCode>
                <c:ptCount val="12"/>
                <c:pt idx="0">
                  <c:v>0</c:v>
                </c:pt>
                <c:pt idx="1">
                  <c:v>0</c:v>
                </c:pt>
                <c:pt idx="2">
                  <c:v>0</c:v>
                </c:pt>
                <c:pt idx="3">
                  <c:v>0</c:v>
                </c:pt>
                <c:pt idx="4">
                  <c:v>26</c:v>
                </c:pt>
                <c:pt idx="5">
                  <c:v>206</c:v>
                </c:pt>
                <c:pt idx="6">
                  <c:v>374</c:v>
                </c:pt>
                <c:pt idx="7">
                  <c:v>337</c:v>
                </c:pt>
                <c:pt idx="8">
                  <c:v>169</c:v>
                </c:pt>
                <c:pt idx="9">
                  <c:v>0</c:v>
                </c:pt>
                <c:pt idx="10">
                  <c:v>0</c:v>
                </c:pt>
                <c:pt idx="11">
                  <c:v>0</c:v>
                </c:pt>
              </c:numCache>
            </c:numRef>
          </c:val>
        </c:ser>
        <c:ser>
          <c:idx val="10"/>
          <c:order val="6"/>
          <c:tx>
            <c:v>2022 Heating</c:v>
          </c:tx>
          <c:spPr>
            <a:ln w="25400">
              <a:solidFill>
                <a:srgbClr val="00B050"/>
              </a:solidFill>
              <a:prstDash val="sysDash"/>
            </a:ln>
          </c:spPr>
          <c:marker>
            <c:symbol val="diamond"/>
            <c:size val="5"/>
            <c:spPr>
              <a:solidFill>
                <a:srgbClr val="00B050"/>
              </a:solidFill>
              <a:ln>
                <a:solidFill>
                  <a:srgbClr val="00B050"/>
                </a:solidFill>
              </a:ln>
            </c:spPr>
          </c:marker>
          <c:val>
            <c:numRef>
              <c:f>'Elec &amp; Gas Data'!$M$58:$M$69</c:f>
              <c:numCache>
                <c:formatCode>General</c:formatCode>
                <c:ptCount val="12"/>
                <c:pt idx="0">
                  <c:v>1197</c:v>
                </c:pt>
                <c:pt idx="1">
                  <c:v>1104</c:v>
                </c:pt>
                <c:pt idx="2">
                  <c:v>809</c:v>
                </c:pt>
                <c:pt idx="3">
                  <c:v>451</c:v>
                </c:pt>
                <c:pt idx="4">
                  <c:v>251</c:v>
                </c:pt>
                <c:pt idx="5">
                  <c:v>26</c:v>
                </c:pt>
                <c:pt idx="6">
                  <c:v>0</c:v>
                </c:pt>
                <c:pt idx="7">
                  <c:v>0</c:v>
                </c:pt>
                <c:pt idx="8">
                  <c:v>0</c:v>
                </c:pt>
                <c:pt idx="9">
                  <c:v>398</c:v>
                </c:pt>
                <c:pt idx="10">
                  <c:v>806</c:v>
                </c:pt>
                <c:pt idx="11">
                  <c:v>1214</c:v>
                </c:pt>
              </c:numCache>
            </c:numRef>
          </c:val>
        </c:ser>
        <c:ser>
          <c:idx val="11"/>
          <c:order val="7"/>
          <c:tx>
            <c:v>2022 Therms</c:v>
          </c:tx>
          <c:spPr>
            <a:ln w="25400">
              <a:solidFill>
                <a:srgbClr val="00B050"/>
              </a:solidFill>
              <a:prstDash val="dash"/>
            </a:ln>
          </c:spPr>
          <c:marker>
            <c:symbol val="diamond"/>
            <c:size val="5"/>
            <c:spPr>
              <a:solidFill>
                <a:srgbClr val="00B050"/>
              </a:solidFill>
              <a:ln>
                <a:solidFill>
                  <a:srgbClr val="00B050"/>
                </a:solidFill>
              </a:ln>
            </c:spPr>
          </c:marker>
          <c:val>
            <c:numRef>
              <c:f>'Elec &amp; Gas Data'!$L$58:$L$69</c:f>
              <c:numCache>
                <c:formatCode>General</c:formatCode>
                <c:ptCount val="12"/>
                <c:pt idx="0">
                  <c:v>166</c:v>
                </c:pt>
                <c:pt idx="1">
                  <c:v>161</c:v>
                </c:pt>
                <c:pt idx="2">
                  <c:v>113</c:v>
                </c:pt>
                <c:pt idx="3">
                  <c:v>48</c:v>
                </c:pt>
                <c:pt idx="4">
                  <c:v>24</c:v>
                </c:pt>
                <c:pt idx="5">
                  <c:v>10</c:v>
                </c:pt>
                <c:pt idx="6">
                  <c:v>7</c:v>
                </c:pt>
                <c:pt idx="7">
                  <c:v>7</c:v>
                </c:pt>
                <c:pt idx="8">
                  <c:v>9</c:v>
                </c:pt>
                <c:pt idx="9">
                  <c:v>22</c:v>
                </c:pt>
                <c:pt idx="10">
                  <c:v>127</c:v>
                </c:pt>
                <c:pt idx="11">
                  <c:v>210</c:v>
                </c:pt>
              </c:numCache>
            </c:numRef>
          </c:val>
        </c:ser>
        <c:ser>
          <c:idx val="2"/>
          <c:order val="8"/>
          <c:tx>
            <c:v>2023 KWh</c:v>
          </c:tx>
          <c:spPr>
            <a:ln w="25400">
              <a:solidFill>
                <a:srgbClr val="FFC000"/>
              </a:solidFill>
              <a:prstDash val="solid"/>
            </a:ln>
          </c:spPr>
          <c:marker>
            <c:symbol val="diamond"/>
            <c:size val="5"/>
            <c:spPr>
              <a:solidFill>
                <a:srgbClr val="FFC000"/>
              </a:solidFill>
              <a:ln>
                <a:solidFill>
                  <a:srgbClr val="FFC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Data'!$X$58:$X$69</c:f>
              <c:numCache>
                <c:formatCode>General</c:formatCode>
                <c:ptCount val="12"/>
                <c:pt idx="0">
                  <c:v>495</c:v>
                </c:pt>
                <c:pt idx="1">
                  <c:v>444</c:v>
                </c:pt>
                <c:pt idx="2">
                  <c:v>411</c:v>
                </c:pt>
                <c:pt idx="3">
                  <c:v>356</c:v>
                </c:pt>
                <c:pt idx="4">
                  <c:v>350</c:v>
                </c:pt>
                <c:pt idx="5">
                  <c:v>355</c:v>
                </c:pt>
                <c:pt idx="6">
                  <c:v>734</c:v>
                </c:pt>
                <c:pt idx="7">
                  <c:v>654</c:v>
                </c:pt>
                <c:pt idx="8">
                  <c:v>364</c:v>
                </c:pt>
                <c:pt idx="9">
                  <c:v>392</c:v>
                </c:pt>
                <c:pt idx="10">
                  <c:v>419</c:v>
                </c:pt>
                <c:pt idx="11">
                  <c:v>616</c:v>
                </c:pt>
              </c:numCache>
            </c:numRef>
          </c:val>
        </c:ser>
        <c:ser>
          <c:idx val="12"/>
          <c:order val="9"/>
          <c:tx>
            <c:v>2023 Cooling</c:v>
          </c:tx>
          <c:spPr>
            <a:ln w="25400">
              <a:solidFill>
                <a:srgbClr val="FFC000"/>
              </a:solidFill>
              <a:prstDash val="sysDot"/>
            </a:ln>
          </c:spPr>
          <c:marker>
            <c:symbol val="diamond"/>
            <c:size val="5"/>
            <c:spPr>
              <a:solidFill>
                <a:srgbClr val="FFC000"/>
              </a:solidFill>
              <a:ln>
                <a:solidFill>
                  <a:srgbClr val="FFC000"/>
                </a:solidFill>
              </a:ln>
            </c:spPr>
          </c:marker>
          <c:val>
            <c:numRef>
              <c:f>'Elec &amp; Gas Data'!$W$58:$W$69</c:f>
              <c:numCache>
                <c:formatCode>General</c:formatCode>
                <c:ptCount val="12"/>
                <c:pt idx="0">
                  <c:v>0</c:v>
                </c:pt>
                <c:pt idx="1">
                  <c:v>0</c:v>
                </c:pt>
                <c:pt idx="2">
                  <c:v>0</c:v>
                </c:pt>
                <c:pt idx="3">
                  <c:v>0</c:v>
                </c:pt>
                <c:pt idx="4">
                  <c:v>0</c:v>
                </c:pt>
                <c:pt idx="5">
                  <c:v>54</c:v>
                </c:pt>
                <c:pt idx="6">
                  <c:v>261</c:v>
                </c:pt>
                <c:pt idx="7">
                  <c:v>257</c:v>
                </c:pt>
                <c:pt idx="8">
                  <c:v>106</c:v>
                </c:pt>
                <c:pt idx="9">
                  <c:v>6</c:v>
                </c:pt>
                <c:pt idx="10">
                  <c:v>0</c:v>
                </c:pt>
                <c:pt idx="11">
                  <c:v>0</c:v>
                </c:pt>
              </c:numCache>
            </c:numRef>
          </c:val>
        </c:ser>
        <c:ser>
          <c:idx val="14"/>
          <c:order val="10"/>
          <c:tx>
            <c:v>2023 Heating</c:v>
          </c:tx>
          <c:spPr>
            <a:ln w="25400">
              <a:solidFill>
                <a:srgbClr val="FFC000"/>
              </a:solidFill>
              <a:prstDash val="sysDash"/>
            </a:ln>
          </c:spPr>
          <c:marker>
            <c:symbol val="triangle"/>
            <c:size val="5"/>
            <c:spPr>
              <a:solidFill>
                <a:srgbClr val="FFC000"/>
              </a:solidFill>
              <a:ln>
                <a:solidFill>
                  <a:srgbClr val="FFC000"/>
                </a:solidFill>
              </a:ln>
            </c:spPr>
          </c:marker>
          <c:val>
            <c:numRef>
              <c:f>'Elec &amp; Gas Data'!$V$58:$V$69</c:f>
              <c:numCache>
                <c:formatCode>General</c:formatCode>
                <c:ptCount val="12"/>
                <c:pt idx="0">
                  <c:v>1297</c:v>
                </c:pt>
                <c:pt idx="1">
                  <c:v>1060</c:v>
                </c:pt>
                <c:pt idx="2">
                  <c:v>861</c:v>
                </c:pt>
                <c:pt idx="3">
                  <c:v>547</c:v>
                </c:pt>
                <c:pt idx="4">
                  <c:v>187</c:v>
                </c:pt>
                <c:pt idx="5">
                  <c:v>83</c:v>
                </c:pt>
                <c:pt idx="6">
                  <c:v>5</c:v>
                </c:pt>
                <c:pt idx="7">
                  <c:v>3</c:v>
                </c:pt>
                <c:pt idx="8">
                  <c:v>22</c:v>
                </c:pt>
                <c:pt idx="9">
                  <c:v>393</c:v>
                </c:pt>
                <c:pt idx="10">
                  <c:v>720</c:v>
                </c:pt>
                <c:pt idx="11">
                  <c:v>893</c:v>
                </c:pt>
              </c:numCache>
            </c:numRef>
          </c:val>
        </c:ser>
        <c:ser>
          <c:idx val="13"/>
          <c:order val="11"/>
          <c:tx>
            <c:v>2023 Therms</c:v>
          </c:tx>
          <c:spPr>
            <a:ln w="25400">
              <a:solidFill>
                <a:srgbClr val="FFC000"/>
              </a:solidFill>
              <a:prstDash val="dash"/>
            </a:ln>
          </c:spPr>
          <c:marker>
            <c:symbol val="diamond"/>
            <c:size val="5"/>
            <c:spPr>
              <a:solidFill>
                <a:srgbClr val="FFC000"/>
              </a:solidFill>
              <a:ln>
                <a:solidFill>
                  <a:srgbClr val="FFC000"/>
                </a:solidFill>
              </a:ln>
            </c:spPr>
          </c:marker>
          <c:val>
            <c:numRef>
              <c:f>'Elec &amp; Gas Data'!$U$58:$U$69</c:f>
              <c:numCache>
                <c:formatCode>General</c:formatCode>
                <c:ptCount val="12"/>
                <c:pt idx="0">
                  <c:v>188</c:v>
                </c:pt>
                <c:pt idx="1">
                  <c:v>160</c:v>
                </c:pt>
                <c:pt idx="2">
                  <c:v>113</c:v>
                </c:pt>
                <c:pt idx="3">
                  <c:v>44</c:v>
                </c:pt>
                <c:pt idx="4">
                  <c:v>14</c:v>
                </c:pt>
                <c:pt idx="5">
                  <c:v>6</c:v>
                </c:pt>
                <c:pt idx="6">
                  <c:v>7</c:v>
                </c:pt>
                <c:pt idx="7">
                  <c:v>7</c:v>
                </c:pt>
                <c:pt idx="8">
                  <c:v>9</c:v>
                </c:pt>
                <c:pt idx="9">
                  <c:v>38</c:v>
                </c:pt>
                <c:pt idx="10">
                  <c:v>117</c:v>
                </c:pt>
                <c:pt idx="11">
                  <c:v>162</c:v>
                </c:pt>
              </c:numCache>
            </c:numRef>
          </c:val>
        </c:ser>
        <c:ser>
          <c:idx val="4"/>
          <c:order val="12"/>
          <c:tx>
            <c:v>2024 kWh</c:v>
          </c:tx>
          <c:spPr>
            <a:ln w="25400">
              <a:solidFill>
                <a:srgbClr val="C00000"/>
              </a:solidFill>
              <a:prstDash val="solid"/>
            </a:ln>
          </c:spPr>
          <c:marker>
            <c:symbol val="diamond"/>
            <c:size val="5"/>
            <c:spPr>
              <a:solidFill>
                <a:srgbClr val="FF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Data'!$O$34:$O$45</c:f>
              <c:numCache>
                <c:formatCode>General</c:formatCode>
                <c:ptCount val="12"/>
                <c:pt idx="0">
                  <c:v>539</c:v>
                </c:pt>
                <c:pt idx="1">
                  <c:v>376</c:v>
                </c:pt>
                <c:pt idx="2">
                  <c:v>367</c:v>
                </c:pt>
                <c:pt idx="3">
                  <c:v>353</c:v>
                </c:pt>
                <c:pt idx="4">
                  <c:v>401</c:v>
                </c:pt>
                <c:pt idx="5">
                  <c:v>709</c:v>
                </c:pt>
                <c:pt idx="6">
                  <c:v>787</c:v>
                </c:pt>
                <c:pt idx="7">
                  <c:v>794</c:v>
                </c:pt>
              </c:numCache>
            </c:numRef>
          </c:val>
        </c:ser>
        <c:ser>
          <c:idx val="6"/>
          <c:order val="13"/>
          <c:tx>
            <c:v>2024 Cooling</c:v>
          </c:tx>
          <c:spPr>
            <a:ln w="25400">
              <a:solidFill>
                <a:srgbClr val="C00000"/>
              </a:solidFill>
              <a:prstDash val="sysDot"/>
            </a:ln>
          </c:spPr>
          <c:marker>
            <c:symbol val="diamond"/>
            <c:size val="5"/>
            <c:spPr>
              <a:solidFill>
                <a:srgbClr val="C0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Data'!$N$34:$N$45</c:f>
              <c:numCache>
                <c:formatCode>General</c:formatCode>
                <c:ptCount val="12"/>
                <c:pt idx="0">
                  <c:v>0</c:v>
                </c:pt>
                <c:pt idx="1">
                  <c:v>0</c:v>
                </c:pt>
                <c:pt idx="2">
                  <c:v>0</c:v>
                </c:pt>
                <c:pt idx="3">
                  <c:v>0</c:v>
                </c:pt>
                <c:pt idx="4">
                  <c:v>3</c:v>
                </c:pt>
                <c:pt idx="5">
                  <c:v>251</c:v>
                </c:pt>
                <c:pt idx="6">
                  <c:v>343</c:v>
                </c:pt>
                <c:pt idx="7">
                  <c:v>317</c:v>
                </c:pt>
              </c:numCache>
            </c:numRef>
          </c:val>
        </c:ser>
        <c:ser>
          <c:idx val="0"/>
          <c:order val="14"/>
          <c:tx>
            <c:v>2024 Heating</c:v>
          </c:tx>
          <c:spPr>
            <a:ln w="25400">
              <a:solidFill>
                <a:srgbClr val="C00000"/>
              </a:solidFill>
              <a:prstDash val="sysDash"/>
            </a:ln>
          </c:spPr>
          <c:marker>
            <c:symbol val="diamond"/>
            <c:size val="5"/>
            <c:spPr>
              <a:solidFill>
                <a:srgbClr val="C00000"/>
              </a:solidFill>
              <a:ln>
                <a:solidFill>
                  <a:srgbClr val="C00000"/>
                </a:solidFill>
              </a:ln>
            </c:spPr>
          </c:marker>
          <c:cat>
            <c:strRef>
              <c:f>'Pred Prod'!$A$14:$A$25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 &amp; Gas Data'!$M$34:$M$45</c:f>
              <c:numCache>
                <c:formatCode>General</c:formatCode>
                <c:ptCount val="12"/>
                <c:pt idx="0">
                  <c:v>1160</c:v>
                </c:pt>
                <c:pt idx="1">
                  <c:v>757</c:v>
                </c:pt>
                <c:pt idx="2">
                  <c:v>683</c:v>
                </c:pt>
                <c:pt idx="3">
                  <c:v>405</c:v>
                </c:pt>
                <c:pt idx="4">
                  <c:v>237</c:v>
                </c:pt>
                <c:pt idx="5">
                  <c:v>4</c:v>
                </c:pt>
                <c:pt idx="6">
                  <c:v>2</c:v>
                </c:pt>
                <c:pt idx="7">
                  <c:v>2</c:v>
                </c:pt>
              </c:numCache>
            </c:numRef>
          </c:val>
        </c:ser>
        <c:ser>
          <c:idx val="15"/>
          <c:order val="15"/>
          <c:tx>
            <c:v>2024 Therms</c:v>
          </c:tx>
          <c:spPr>
            <a:ln w="25400">
              <a:solidFill>
                <a:srgbClr val="C00000"/>
              </a:solidFill>
              <a:prstDash val="dash"/>
            </a:ln>
          </c:spPr>
          <c:marker>
            <c:symbol val="diamond"/>
            <c:size val="5"/>
            <c:spPr>
              <a:solidFill>
                <a:srgbClr val="C00000"/>
              </a:solidFill>
              <a:ln>
                <a:solidFill>
                  <a:srgbClr val="C00000"/>
                </a:solidFill>
              </a:ln>
            </c:spPr>
          </c:marker>
          <c:val>
            <c:numRef>
              <c:f>'Elec &amp; Gas Data'!$L$34:$L$45</c:f>
              <c:numCache>
                <c:formatCode>General</c:formatCode>
                <c:ptCount val="12"/>
                <c:pt idx="0">
                  <c:v>206</c:v>
                </c:pt>
                <c:pt idx="1">
                  <c:v>87</c:v>
                </c:pt>
                <c:pt idx="2">
                  <c:v>72</c:v>
                </c:pt>
                <c:pt idx="3">
                  <c:v>33</c:v>
                </c:pt>
                <c:pt idx="4">
                  <c:v>22</c:v>
                </c:pt>
                <c:pt idx="5">
                  <c:v>5</c:v>
                </c:pt>
                <c:pt idx="6">
                  <c:v>5</c:v>
                </c:pt>
                <c:pt idx="7">
                  <c:v>7</c:v>
                </c:pt>
              </c:numCache>
            </c:numRef>
          </c:val>
        </c:ser>
        <c:marker val="1"/>
        <c:axId val="175073536"/>
        <c:axId val="175084288"/>
      </c:lineChart>
      <c:dateAx>
        <c:axId val="175073536"/>
        <c:scaling>
          <c:orientation val="minMax"/>
        </c:scaling>
        <c:axPos val="b"/>
        <c:majorGridlines/>
        <c:title>
          <c:tx>
            <c:rich>
              <a:bodyPr/>
              <a:lstStyle/>
              <a:p>
                <a:pPr>
                  <a:defRPr/>
                </a:pPr>
                <a:endParaRPr lang="en-US"/>
              </a:p>
              <a:p>
                <a:pPr>
                  <a:defRPr/>
                </a:pPr>
                <a:endParaRPr lang="en-US"/>
              </a:p>
            </c:rich>
          </c:tx>
          <c:layout/>
        </c:title>
        <c:tickLblPos val="nextTo"/>
        <c:crossAx val="175084288"/>
        <c:crossesAt val="-300"/>
        <c:lblOffset val="100"/>
        <c:baseTimeUnit val="days"/>
      </c:dateAx>
      <c:valAx>
        <c:axId val="175084288"/>
        <c:scaling>
          <c:orientation val="minMax"/>
          <c:max val="1200"/>
          <c:min val="0"/>
        </c:scaling>
        <c:axPos val="l"/>
        <c:majorGridlines/>
        <c:numFmt formatCode="General" sourceLinked="1"/>
        <c:tickLblPos val="low"/>
        <c:crossAx val="175073536"/>
        <c:crosses val="autoZero"/>
        <c:crossBetween val="midCat"/>
        <c:majorUnit val="300"/>
      </c:valAx>
    </c:plotArea>
    <c:legend>
      <c:legendPos val="r"/>
      <c:layout>
        <c:manualLayout>
          <c:xMode val="edge"/>
          <c:yMode val="edge"/>
          <c:x val="0.87591313816676553"/>
          <c:y val="0.10585641911040188"/>
          <c:w val="0.10196563422582662"/>
          <c:h val="0.86229593393849324"/>
        </c:manualLayout>
      </c:layout>
      <c:spPr>
        <a:ln>
          <a:noFill/>
          <a:prstDash val="dash"/>
        </a:ln>
      </c:spPr>
    </c:legend>
    <c:plotVisOnly val="1"/>
    <c:dispBlanksAs val="gap"/>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3200" u="sng"/>
              <a:t>Kilowatt-hours by</a:t>
            </a:r>
            <a:r>
              <a:rPr lang="en-US" sz="3200" u="sng" baseline="0"/>
              <a:t> Year</a:t>
            </a:r>
          </a:p>
        </c:rich>
      </c:tx>
      <c:layout>
        <c:manualLayout>
          <c:xMode val="edge"/>
          <c:yMode val="edge"/>
          <c:x val="0.34748990968274068"/>
          <c:y val="2.6258205689277982E-2"/>
        </c:manualLayout>
      </c:layout>
    </c:title>
    <c:plotArea>
      <c:layout>
        <c:manualLayout>
          <c:layoutTarget val="inner"/>
          <c:xMode val="edge"/>
          <c:yMode val="edge"/>
          <c:x val="1.007049345417925E-2"/>
          <c:y val="0.12088109695670192"/>
          <c:w val="0.97784491440080756"/>
          <c:h val="0.78517919241788259"/>
        </c:manualLayout>
      </c:layout>
      <c:barChart>
        <c:barDir val="col"/>
        <c:grouping val="clustered"/>
        <c:ser>
          <c:idx val="2"/>
          <c:order val="0"/>
          <c:tx>
            <c:strRef>
              <c:f>'Elec &amp; Gas Data'!$C$82</c:f>
              <c:strCache>
                <c:ptCount val="1"/>
                <c:pt idx="0">
                  <c:v>kWh</c:v>
                </c:pt>
              </c:strCache>
            </c:strRef>
          </c:tx>
          <c:spPr>
            <a:solidFill>
              <a:srgbClr val="4F81BD"/>
            </a:solidFill>
            <a:ln>
              <a:solidFill>
                <a:srgbClr val="4F81BD"/>
              </a:solidFill>
            </a:ln>
          </c:spPr>
          <c:cat>
            <c:numRef>
              <c:f>'Elec &amp; Gas Data'!$A$83:$A$98</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'Elec &amp; Gas Data'!$C$83:$C$98</c:f>
              <c:numCache>
                <c:formatCode>0</c:formatCode>
                <c:ptCount val="16"/>
                <c:pt idx="0">
                  <c:v>9875</c:v>
                </c:pt>
                <c:pt idx="1">
                  <c:v>8889</c:v>
                </c:pt>
                <c:pt idx="2">
                  <c:v>8457</c:v>
                </c:pt>
                <c:pt idx="3">
                  <c:v>9112</c:v>
                </c:pt>
                <c:pt idx="4">
                  <c:v>8269</c:v>
                </c:pt>
                <c:pt idx="5">
                  <c:v>9113</c:v>
                </c:pt>
                <c:pt idx="6">
                  <c:v>8179</c:v>
                </c:pt>
                <c:pt idx="7">
                  <c:v>7266</c:v>
                </c:pt>
                <c:pt idx="8">
                  <c:v>7518</c:v>
                </c:pt>
                <c:pt idx="9">
                  <c:v>7511</c:v>
                </c:pt>
                <c:pt idx="10">
                  <c:v>8843</c:v>
                </c:pt>
                <c:pt idx="11">
                  <c:v>7466</c:v>
                </c:pt>
                <c:pt idx="12">
                  <c:v>7568</c:v>
                </c:pt>
                <c:pt idx="13">
                  <c:v>7612</c:v>
                </c:pt>
                <c:pt idx="14">
                  <c:v>6700</c:v>
                </c:pt>
                <c:pt idx="15">
                  <c:v>5590</c:v>
                </c:pt>
              </c:numCache>
            </c:numRef>
          </c:val>
        </c:ser>
        <c:dLbls>
          <c:showVal val="1"/>
        </c:dLbls>
        <c:overlap val="-25"/>
        <c:axId val="175125632"/>
        <c:axId val="175127168"/>
      </c:barChart>
      <c:catAx>
        <c:axId val="175125632"/>
        <c:scaling>
          <c:orientation val="minMax"/>
        </c:scaling>
        <c:axPos val="b"/>
        <c:numFmt formatCode="General" sourceLinked="1"/>
        <c:majorTickMark val="none"/>
        <c:tickLblPos val="nextTo"/>
        <c:crossAx val="175127168"/>
        <c:crosses val="autoZero"/>
        <c:auto val="1"/>
        <c:lblAlgn val="ctr"/>
        <c:lblOffset val="100"/>
      </c:catAx>
      <c:valAx>
        <c:axId val="175127168"/>
        <c:scaling>
          <c:orientation val="minMax"/>
          <c:max val="10000"/>
          <c:min val="0"/>
        </c:scaling>
        <c:delete val="1"/>
        <c:axPos val="l"/>
        <c:numFmt formatCode="0" sourceLinked="0"/>
        <c:majorTickMark val="none"/>
        <c:tickLblPos val="none"/>
        <c:crossAx val="175125632"/>
        <c:crossesAt val="1"/>
        <c:crossBetween val="between"/>
        <c:majorUnit val="1000"/>
      </c:valAx>
    </c:plotArea>
    <c:plotVisOnly val="1"/>
  </c:chart>
  <c:spPr>
    <a:ln>
      <a:noFill/>
    </a:ln>
  </c:spPr>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u="sng"/>
            </a:pPr>
            <a:r>
              <a:rPr lang="en-US" sz="3200" u="sng"/>
              <a:t>Natural Gas Therms by Year</a:t>
            </a:r>
          </a:p>
        </c:rich>
      </c:tx>
      <c:layout>
        <c:manualLayout>
          <c:xMode val="edge"/>
          <c:yMode val="edge"/>
          <c:x val="0.31377136015097851"/>
          <c:y val="3.8461538461538464E-2"/>
        </c:manualLayout>
      </c:layout>
    </c:title>
    <c:plotArea>
      <c:layout/>
      <c:barChart>
        <c:barDir val="col"/>
        <c:grouping val="clustered"/>
        <c:ser>
          <c:idx val="2"/>
          <c:order val="0"/>
          <c:tx>
            <c:strRef>
              <c:f>'Elec &amp; Gas Data'!$B$82</c:f>
              <c:strCache>
                <c:ptCount val="1"/>
                <c:pt idx="0">
                  <c:v>Therms</c:v>
                </c:pt>
              </c:strCache>
            </c:strRef>
          </c:tx>
          <c:spPr>
            <a:solidFill>
              <a:srgbClr val="C00000"/>
            </a:solidFill>
            <a:ln>
              <a:solidFill>
                <a:srgbClr val="C00000"/>
              </a:solidFill>
            </a:ln>
          </c:spPr>
          <c:cat>
            <c:numRef>
              <c:f>'Elec &amp; Gas Data'!$A$83:$A$98</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'Elec &amp; Gas Data'!$B$83:$B$98</c:f>
              <c:numCache>
                <c:formatCode>0</c:formatCode>
                <c:ptCount val="16"/>
                <c:pt idx="0">
                  <c:v>773</c:v>
                </c:pt>
                <c:pt idx="1">
                  <c:v>805</c:v>
                </c:pt>
                <c:pt idx="2">
                  <c:v>851</c:v>
                </c:pt>
                <c:pt idx="3">
                  <c:v>910</c:v>
                </c:pt>
                <c:pt idx="4">
                  <c:v>776</c:v>
                </c:pt>
                <c:pt idx="5">
                  <c:v>1053</c:v>
                </c:pt>
                <c:pt idx="6">
                  <c:v>1122</c:v>
                </c:pt>
                <c:pt idx="7">
                  <c:v>994</c:v>
                </c:pt>
                <c:pt idx="8">
                  <c:v>878</c:v>
                </c:pt>
                <c:pt idx="9">
                  <c:v>861</c:v>
                </c:pt>
                <c:pt idx="10">
                  <c:v>1003</c:v>
                </c:pt>
                <c:pt idx="11">
                  <c:v>1065</c:v>
                </c:pt>
                <c:pt idx="12">
                  <c:v>1041</c:v>
                </c:pt>
                <c:pt idx="13">
                  <c:v>939</c:v>
                </c:pt>
                <c:pt idx="14">
                  <c:v>904</c:v>
                </c:pt>
                <c:pt idx="15">
                  <c:v>865</c:v>
                </c:pt>
              </c:numCache>
            </c:numRef>
          </c:val>
        </c:ser>
        <c:dLbls>
          <c:showVal val="1"/>
        </c:dLbls>
        <c:overlap val="-25"/>
        <c:axId val="175146880"/>
        <c:axId val="175148416"/>
      </c:barChart>
      <c:catAx>
        <c:axId val="175146880"/>
        <c:scaling>
          <c:orientation val="minMax"/>
        </c:scaling>
        <c:axPos val="b"/>
        <c:numFmt formatCode="General" sourceLinked="1"/>
        <c:majorTickMark val="none"/>
        <c:tickLblPos val="nextTo"/>
        <c:spPr>
          <a:noFill/>
        </c:spPr>
        <c:crossAx val="175148416"/>
        <c:crosses val="autoZero"/>
        <c:auto val="1"/>
        <c:lblAlgn val="ctr"/>
        <c:lblOffset val="100"/>
      </c:catAx>
      <c:valAx>
        <c:axId val="175148416"/>
        <c:scaling>
          <c:orientation val="minMax"/>
          <c:max val="1200"/>
          <c:min val="0"/>
        </c:scaling>
        <c:delete val="1"/>
        <c:axPos val="l"/>
        <c:numFmt formatCode="0" sourceLinked="0"/>
        <c:majorTickMark val="none"/>
        <c:tickLblPos val="none"/>
        <c:crossAx val="175146880"/>
        <c:crossesAt val="1"/>
        <c:crossBetween val="between"/>
        <c:majorUnit val="200"/>
      </c:valAx>
    </c:plotArea>
    <c:plotVisOnly val="1"/>
  </c:chart>
  <c:spPr>
    <a:ln>
      <a:noFill/>
    </a:ln>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114300</xdr:colOff>
      <xdr:row>48</xdr:row>
      <xdr:rowOff>82550</xdr:rowOff>
    </xdr:from>
    <xdr:to>
      <xdr:col>14</xdr:col>
      <xdr:colOff>139700</xdr:colOff>
      <xdr:row>79</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82550</xdr:colOff>
      <xdr:row>81</xdr:row>
      <xdr:rowOff>44450</xdr:rowOff>
    </xdr:from>
    <xdr:to>
      <xdr:col>14</xdr:col>
      <xdr:colOff>146050</xdr:colOff>
      <xdr:row>112</xdr:row>
      <xdr:rowOff>12700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0.8618</cdr:x>
      <cdr:y>0.47845</cdr:y>
    </cdr:from>
    <cdr:to>
      <cdr:x>1</cdr:x>
      <cdr:y>0.68534</cdr:y>
    </cdr:to>
    <cdr:sp macro="" textlink="">
      <cdr:nvSpPr>
        <cdr:cNvPr id="2" name="TextBox 1"/>
        <cdr:cNvSpPr txBox="1"/>
      </cdr:nvSpPr>
      <cdr:spPr>
        <a:xfrm xmlns:a="http://schemas.openxmlformats.org/drawingml/2006/main">
          <a:off x="6280150" y="21145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0.8618</cdr:x>
      <cdr:y>0.47845</cdr:y>
    </cdr:from>
    <cdr:to>
      <cdr:x>1</cdr:x>
      <cdr:y>0.68534</cdr:y>
    </cdr:to>
    <cdr:sp macro="" textlink="">
      <cdr:nvSpPr>
        <cdr:cNvPr id="2" name="TextBox 1"/>
        <cdr:cNvSpPr txBox="1"/>
      </cdr:nvSpPr>
      <cdr:spPr>
        <a:xfrm xmlns:a="http://schemas.openxmlformats.org/drawingml/2006/main">
          <a:off x="6280150" y="21145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25400</xdr:colOff>
      <xdr:row>4</xdr:row>
      <xdr:rowOff>76200</xdr:rowOff>
    </xdr:from>
    <xdr:to>
      <xdr:col>17</xdr:col>
      <xdr:colOff>539750</xdr:colOff>
      <xdr:row>35</xdr:row>
      <xdr:rowOff>101600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0.8618</cdr:x>
      <cdr:y>0.47845</cdr:y>
    </cdr:from>
    <cdr:to>
      <cdr:x>1</cdr:x>
      <cdr:y>0.68534</cdr:y>
    </cdr:to>
    <cdr:sp macro="" textlink="">
      <cdr:nvSpPr>
        <cdr:cNvPr id="2" name="TextBox 1"/>
        <cdr:cNvSpPr txBox="1"/>
      </cdr:nvSpPr>
      <cdr:spPr>
        <a:xfrm xmlns:a="http://schemas.openxmlformats.org/drawingml/2006/main">
          <a:off x="6280150" y="21145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25400</xdr:colOff>
      <xdr:row>4</xdr:row>
      <xdr:rowOff>76200</xdr:rowOff>
    </xdr:from>
    <xdr:to>
      <xdr:col>17</xdr:col>
      <xdr:colOff>501650</xdr:colOff>
      <xdr:row>35</xdr:row>
      <xdr:rowOff>101600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0.8618</cdr:x>
      <cdr:y>0.47845</cdr:y>
    </cdr:from>
    <cdr:to>
      <cdr:x>1</cdr:x>
      <cdr:y>0.68534</cdr:y>
    </cdr:to>
    <cdr:sp macro="" textlink="">
      <cdr:nvSpPr>
        <cdr:cNvPr id="2" name="TextBox 1"/>
        <cdr:cNvSpPr txBox="1"/>
      </cdr:nvSpPr>
      <cdr:spPr>
        <a:xfrm xmlns:a="http://schemas.openxmlformats.org/drawingml/2006/main">
          <a:off x="6280150" y="21145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12700</xdr:colOff>
      <xdr:row>3</xdr:row>
      <xdr:rowOff>88900</xdr:rowOff>
    </xdr:from>
    <xdr:to>
      <xdr:col>20</xdr:col>
      <xdr:colOff>431800</xdr:colOff>
      <xdr:row>33</xdr:row>
      <xdr:rowOff>177800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xdr:colOff>
      <xdr:row>35</xdr:row>
      <xdr:rowOff>88900</xdr:rowOff>
    </xdr:from>
    <xdr:to>
      <xdr:col>20</xdr:col>
      <xdr:colOff>431800</xdr:colOff>
      <xdr:row>65</xdr:row>
      <xdr:rowOff>177800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B22"/>
  <sheetViews>
    <sheetView tabSelected="1" workbookViewId="0">
      <selection activeCell="A2" sqref="A2"/>
    </sheetView>
  </sheetViews>
  <sheetFormatPr defaultRowHeight="14.5"/>
  <cols>
    <col min="1" max="1" width="21.6328125" customWidth="1"/>
  </cols>
  <sheetData>
    <row r="1" spans="1:2" ht="25" customHeight="1">
      <c r="A1" s="73" t="s">
        <v>120</v>
      </c>
    </row>
    <row r="2" spans="1:2" ht="20" customHeight="1">
      <c r="A2" s="12"/>
    </row>
    <row r="3" spans="1:2" ht="20" customHeight="1">
      <c r="A3" s="71" t="s">
        <v>170</v>
      </c>
    </row>
    <row r="4" spans="1:2" ht="20" customHeight="1">
      <c r="A4" s="71" t="s">
        <v>172</v>
      </c>
    </row>
    <row r="5" spans="1:2" ht="20" customHeight="1">
      <c r="A5" s="71" t="s">
        <v>171</v>
      </c>
    </row>
    <row r="6" spans="1:2" ht="15" customHeight="1">
      <c r="A6" s="55"/>
    </row>
    <row r="7" spans="1:2" ht="15" customHeight="1">
      <c r="A7" s="23" t="s">
        <v>63</v>
      </c>
      <c r="B7" s="23" t="s">
        <v>64</v>
      </c>
    </row>
    <row r="8" spans="1:2" ht="15" customHeight="1">
      <c r="A8" s="5" t="s">
        <v>166</v>
      </c>
      <c r="B8" t="s">
        <v>97</v>
      </c>
    </row>
    <row r="9" spans="1:2" ht="15" customHeight="1">
      <c r="A9" s="5" t="s">
        <v>188</v>
      </c>
      <c r="B9" t="s">
        <v>169</v>
      </c>
    </row>
    <row r="10" spans="1:2" ht="15" customHeight="1">
      <c r="A10" s="5" t="s">
        <v>98</v>
      </c>
      <c r="B10" t="s">
        <v>167</v>
      </c>
    </row>
    <row r="11" spans="1:2" ht="15" customHeight="1">
      <c r="A11" s="5" t="s">
        <v>142</v>
      </c>
      <c r="B11" t="s">
        <v>181</v>
      </c>
    </row>
    <row r="12" spans="1:2" ht="15" customHeight="1">
      <c r="A12" s="5" t="s">
        <v>189</v>
      </c>
      <c r="B12" t="s">
        <v>168</v>
      </c>
    </row>
    <row r="13" spans="1:2" ht="15" customHeight="1">
      <c r="A13" s="5" t="s">
        <v>66</v>
      </c>
      <c r="B13" t="s">
        <v>67</v>
      </c>
    </row>
    <row r="14" spans="1:2" ht="15" customHeight="1">
      <c r="A14" s="5"/>
    </row>
    <row r="15" spans="1:2" ht="15" customHeight="1">
      <c r="A15" s="5"/>
    </row>
    <row r="16" spans="1:2" ht="15" customHeight="1">
      <c r="A16" s="5" t="s">
        <v>238</v>
      </c>
    </row>
    <row r="17" ht="15" customHeight="1"/>
    <row r="18" ht="15" customHeight="1"/>
    <row r="19" ht="15" customHeight="1"/>
    <row r="20" ht="15" customHeight="1"/>
    <row r="21" ht="15" customHeight="1"/>
    <row r="22" ht="15" customHeight="1"/>
  </sheetData>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dimension ref="A1:K46"/>
  <sheetViews>
    <sheetView workbookViewId="0">
      <selection activeCell="A2" sqref="A2"/>
    </sheetView>
  </sheetViews>
  <sheetFormatPr defaultRowHeight="14.5"/>
  <cols>
    <col min="1" max="12" width="12.6328125" customWidth="1"/>
    <col min="13" max="26" width="11.6328125" customWidth="1"/>
  </cols>
  <sheetData>
    <row r="1" spans="1:11" ht="25" customHeight="1">
      <c r="A1" s="73" t="s">
        <v>221</v>
      </c>
    </row>
    <row r="2" spans="1:11" ht="20" customHeight="1"/>
    <row r="3" spans="1:11" ht="15" customHeight="1">
      <c r="A3" s="9" t="s">
        <v>228</v>
      </c>
    </row>
    <row r="4" spans="1:11" ht="15" customHeight="1">
      <c r="A4" s="9" t="s">
        <v>99</v>
      </c>
    </row>
    <row r="5" spans="1:11" ht="15" customHeight="1">
      <c r="A5" s="6" t="s">
        <v>173</v>
      </c>
    </row>
    <row r="6" spans="1:11" ht="15" customHeight="1">
      <c r="A6" s="9"/>
    </row>
    <row r="7" spans="1:11" ht="15" customHeight="1">
      <c r="A7" s="5" t="s">
        <v>28</v>
      </c>
    </row>
    <row r="8" spans="1:11" ht="15" customHeight="1">
      <c r="A8" t="s">
        <v>229</v>
      </c>
    </row>
    <row r="9" spans="1:11" ht="15" customHeight="1">
      <c r="A9" s="5"/>
    </row>
    <row r="10" spans="1:11" ht="20" customHeight="1">
      <c r="A10" s="106" t="s">
        <v>219</v>
      </c>
      <c r="B10" s="106"/>
      <c r="C10" s="106"/>
      <c r="D10" s="106"/>
      <c r="E10" s="106"/>
      <c r="F10" s="106"/>
      <c r="G10" s="106"/>
      <c r="H10" s="106"/>
      <c r="I10" s="106"/>
      <c r="J10" s="106"/>
      <c r="K10" s="106"/>
    </row>
    <row r="11" spans="1:11" ht="15" customHeight="1">
      <c r="A11" s="90" t="s">
        <v>217</v>
      </c>
      <c r="B11" s="90">
        <f>SUM(C11:K11)</f>
        <v>7200</v>
      </c>
      <c r="C11" s="90">
        <v>800</v>
      </c>
      <c r="D11" s="90">
        <v>3200</v>
      </c>
      <c r="E11" s="90">
        <v>3200</v>
      </c>
      <c r="F11" s="90"/>
      <c r="G11" s="90"/>
      <c r="H11" s="90"/>
      <c r="I11" s="90"/>
      <c r="J11" s="90"/>
      <c r="K11" s="90"/>
    </row>
    <row r="12" spans="1:11" ht="15" customHeight="1">
      <c r="B12" s="82" t="s">
        <v>13</v>
      </c>
      <c r="C12" s="82" t="s">
        <v>225</v>
      </c>
      <c r="D12" s="82" t="s">
        <v>226</v>
      </c>
      <c r="E12" s="82" t="s">
        <v>227</v>
      </c>
      <c r="F12" s="91"/>
      <c r="G12" s="91"/>
      <c r="H12" s="91"/>
      <c r="I12" s="91"/>
      <c r="J12" s="91"/>
      <c r="K12" s="91"/>
    </row>
    <row r="13" spans="1:11" ht="15" customHeight="1">
      <c r="A13" s="41" t="s">
        <v>12</v>
      </c>
      <c r="B13" s="41" t="s">
        <v>216</v>
      </c>
      <c r="C13" s="41" t="s">
        <v>212</v>
      </c>
      <c r="D13" s="41" t="s">
        <v>213</v>
      </c>
      <c r="E13" s="41" t="s">
        <v>214</v>
      </c>
      <c r="F13" s="41" t="s">
        <v>190</v>
      </c>
      <c r="G13" s="41" t="s">
        <v>191</v>
      </c>
      <c r="H13" s="41" t="s">
        <v>192</v>
      </c>
      <c r="I13" s="41" t="s">
        <v>193</v>
      </c>
      <c r="J13" s="41" t="s">
        <v>194</v>
      </c>
      <c r="K13" s="41" t="s">
        <v>215</v>
      </c>
    </row>
    <row r="14" spans="1:11" ht="15" customHeight="1">
      <c r="A14" s="1" t="s">
        <v>0</v>
      </c>
      <c r="B14">
        <f>SUM(C14:K14)</f>
        <v>444</v>
      </c>
      <c r="C14">
        <v>75</v>
      </c>
      <c r="D14">
        <v>208</v>
      </c>
      <c r="E14">
        <v>161</v>
      </c>
    </row>
    <row r="15" spans="1:11" ht="15" customHeight="1">
      <c r="A15" s="1" t="s">
        <v>1</v>
      </c>
      <c r="B15">
        <f t="shared" ref="B15:B26" si="0">SUM(C15:K15)</f>
        <v>553</v>
      </c>
      <c r="C15">
        <v>84</v>
      </c>
      <c r="D15">
        <v>254</v>
      </c>
      <c r="E15">
        <v>215</v>
      </c>
    </row>
    <row r="16" spans="1:11" ht="15" customHeight="1">
      <c r="A16" s="1" t="s">
        <v>2</v>
      </c>
      <c r="B16">
        <f t="shared" si="0"/>
        <v>797</v>
      </c>
      <c r="C16">
        <v>108</v>
      </c>
      <c r="D16">
        <v>369</v>
      </c>
      <c r="E16">
        <v>320</v>
      </c>
    </row>
    <row r="17" spans="1:11" ht="15" customHeight="1">
      <c r="A17" s="1" t="s">
        <v>3</v>
      </c>
      <c r="B17">
        <f t="shared" si="0"/>
        <v>921</v>
      </c>
      <c r="C17">
        <v>114</v>
      </c>
      <c r="D17">
        <v>422</v>
      </c>
      <c r="E17">
        <v>385</v>
      </c>
    </row>
    <row r="18" spans="1:11" ht="15" customHeight="1">
      <c r="A18" s="1" t="s">
        <v>4</v>
      </c>
      <c r="B18">
        <f t="shared" si="0"/>
        <v>1026</v>
      </c>
      <c r="C18">
        <v>117</v>
      </c>
      <c r="D18">
        <v>485</v>
      </c>
      <c r="E18">
        <v>424</v>
      </c>
    </row>
    <row r="19" spans="1:11" ht="15" customHeight="1">
      <c r="A19" s="1" t="s">
        <v>5</v>
      </c>
      <c r="B19">
        <f t="shared" si="0"/>
        <v>1073</v>
      </c>
      <c r="C19">
        <v>119</v>
      </c>
      <c r="D19">
        <v>496</v>
      </c>
      <c r="E19">
        <v>458</v>
      </c>
    </row>
    <row r="20" spans="1:11" ht="15" customHeight="1">
      <c r="A20" s="1" t="s">
        <v>6</v>
      </c>
      <c r="B20">
        <f t="shared" si="0"/>
        <v>1009</v>
      </c>
      <c r="C20">
        <v>115</v>
      </c>
      <c r="D20">
        <v>488</v>
      </c>
      <c r="E20">
        <v>406</v>
      </c>
    </row>
    <row r="21" spans="1:11" ht="15" customHeight="1">
      <c r="A21" s="1" t="s">
        <v>7</v>
      </c>
      <c r="B21">
        <f t="shared" si="0"/>
        <v>956</v>
      </c>
      <c r="C21">
        <v>115</v>
      </c>
      <c r="D21">
        <v>454</v>
      </c>
      <c r="E21">
        <v>387</v>
      </c>
    </row>
    <row r="22" spans="1:11" ht="15" customHeight="1">
      <c r="A22" s="1" t="s">
        <v>8</v>
      </c>
      <c r="B22">
        <f t="shared" si="0"/>
        <v>812</v>
      </c>
      <c r="C22">
        <v>106</v>
      </c>
      <c r="D22">
        <v>378</v>
      </c>
      <c r="E22">
        <v>328</v>
      </c>
    </row>
    <row r="23" spans="1:11" ht="15" customHeight="1">
      <c r="A23" s="1" t="s">
        <v>9</v>
      </c>
      <c r="B23">
        <f t="shared" si="0"/>
        <v>620</v>
      </c>
      <c r="C23">
        <v>91</v>
      </c>
      <c r="D23">
        <v>287</v>
      </c>
      <c r="E23">
        <v>242</v>
      </c>
    </row>
    <row r="24" spans="1:11" ht="15" customHeight="1">
      <c r="A24" s="1" t="s">
        <v>10</v>
      </c>
      <c r="B24">
        <f t="shared" si="0"/>
        <v>490</v>
      </c>
      <c r="C24">
        <v>81</v>
      </c>
      <c r="D24">
        <v>228</v>
      </c>
      <c r="E24">
        <v>181</v>
      </c>
    </row>
    <row r="25" spans="1:11" ht="15" customHeight="1">
      <c r="A25" s="13" t="s">
        <v>11</v>
      </c>
      <c r="B25" s="14">
        <f t="shared" si="0"/>
        <v>416</v>
      </c>
      <c r="C25" s="14">
        <v>74</v>
      </c>
      <c r="D25" s="14">
        <v>197</v>
      </c>
      <c r="E25" s="14">
        <v>145</v>
      </c>
      <c r="F25" s="14"/>
      <c r="G25" s="14"/>
      <c r="H25" s="14"/>
      <c r="I25" s="14"/>
      <c r="J25" s="14"/>
      <c r="K25" s="14"/>
    </row>
    <row r="26" spans="1:11" ht="15" customHeight="1">
      <c r="A26" s="4" t="s">
        <v>218</v>
      </c>
      <c r="B26" s="5">
        <f t="shared" si="0"/>
        <v>9117</v>
      </c>
      <c r="C26">
        <f t="shared" ref="C26:K26" si="1">IF(SUM(C14:C25) =0,"",SUM(C14:C25))</f>
        <v>1199</v>
      </c>
      <c r="D26">
        <f t="shared" si="1"/>
        <v>4266</v>
      </c>
      <c r="E26">
        <f t="shared" si="1"/>
        <v>3652</v>
      </c>
      <c r="F26" t="str">
        <f t="shared" si="1"/>
        <v/>
      </c>
      <c r="G26" t="str">
        <f t="shared" si="1"/>
        <v/>
      </c>
      <c r="H26" t="str">
        <f t="shared" si="1"/>
        <v/>
      </c>
      <c r="I26" t="str">
        <f t="shared" si="1"/>
        <v/>
      </c>
      <c r="J26" t="str">
        <f t="shared" si="1"/>
        <v/>
      </c>
      <c r="K26" t="str">
        <f t="shared" si="1"/>
        <v/>
      </c>
    </row>
    <row r="27" spans="1:11" ht="15" customHeight="1">
      <c r="A27" s="4" t="s">
        <v>20</v>
      </c>
      <c r="B27" s="1" t="s">
        <v>19</v>
      </c>
      <c r="C27" s="1" t="s">
        <v>16</v>
      </c>
      <c r="D27" s="1" t="s">
        <v>17</v>
      </c>
      <c r="E27" s="1" t="s">
        <v>18</v>
      </c>
    </row>
    <row r="28" spans="1:11" ht="15" customHeight="1">
      <c r="B28" s="82">
        <v>8971</v>
      </c>
      <c r="C28" s="103" t="s">
        <v>231</v>
      </c>
      <c r="F28" s="4"/>
      <c r="G28" s="1"/>
      <c r="H28" s="1"/>
    </row>
    <row r="29" spans="1:11" ht="15" customHeight="1">
      <c r="B29" s="91"/>
      <c r="C29" s="91" t="s">
        <v>100</v>
      </c>
    </row>
    <row r="30" spans="1:11" ht="15" customHeight="1"/>
    <row r="32" spans="1:11" ht="18.5">
      <c r="A32" s="107" t="s">
        <v>220</v>
      </c>
      <c r="B32" s="107"/>
      <c r="C32" s="107"/>
      <c r="D32" s="107"/>
      <c r="E32" s="107"/>
      <c r="F32" s="107"/>
      <c r="G32" s="107"/>
      <c r="H32" s="107"/>
      <c r="I32" s="107"/>
      <c r="J32" s="107"/>
      <c r="K32" s="107"/>
    </row>
    <row r="33" spans="1:11" ht="15.5">
      <c r="A33" s="41" t="s">
        <v>12</v>
      </c>
      <c r="B33" s="41" t="s">
        <v>216</v>
      </c>
      <c r="C33" s="41" t="s">
        <v>212</v>
      </c>
      <c r="D33" s="41" t="s">
        <v>213</v>
      </c>
      <c r="E33" s="41" t="s">
        <v>214</v>
      </c>
      <c r="F33" s="41" t="s">
        <v>190</v>
      </c>
      <c r="G33" s="41" t="s">
        <v>191</v>
      </c>
      <c r="H33" s="41" t="s">
        <v>192</v>
      </c>
      <c r="I33" s="41" t="s">
        <v>193</v>
      </c>
      <c r="J33" s="41" t="s">
        <v>194</v>
      </c>
      <c r="K33" s="41" t="s">
        <v>215</v>
      </c>
    </row>
    <row r="34" spans="1:11">
      <c r="A34" s="1" t="s">
        <v>0</v>
      </c>
      <c r="B34" s="16">
        <f>IF($B$11=0,"",B14*1000/($B$11*24*31))</f>
        <v>8.2885304659498213E-2</v>
      </c>
      <c r="C34" s="16">
        <f>IF($C$11=0,"",C14*1000/($C$11*24*31))</f>
        <v>0.12600806451612903</v>
      </c>
      <c r="D34" s="16">
        <f>IF($D$11=0,"",D14*1000/($D$11*24*31))</f>
        <v>8.7365591397849468E-2</v>
      </c>
      <c r="E34" s="16">
        <f>IF($E$11=0,"",E14*1000/($E$11*24*31))</f>
        <v>6.762432795698925E-2</v>
      </c>
      <c r="F34" s="16" t="str">
        <f>IF($F$11=0,"",F14*1000/($F$11*24*31))</f>
        <v/>
      </c>
      <c r="G34" s="16" t="str">
        <f>IF($G$11=0,"",G14*1000/($G$11*24*31))</f>
        <v/>
      </c>
      <c r="H34" s="16" t="str">
        <f>IF($H$11=0,"",H14*1000/($H$11*24*31))</f>
        <v/>
      </c>
      <c r="I34" s="16" t="str">
        <f>IF($I$11=0,"",I14*1000/($I$11*24*31))</f>
        <v/>
      </c>
      <c r="J34" s="16" t="str">
        <f>IF($J$11=0,"",J14*1000/($J$11*24*31))</f>
        <v/>
      </c>
      <c r="K34" s="16" t="str">
        <f>IF($K$11=0,"",K14*1000/($K$11*24*31))</f>
        <v/>
      </c>
    </row>
    <row r="35" spans="1:11">
      <c r="A35" s="1" t="s">
        <v>1</v>
      </c>
      <c r="B35" s="16">
        <f>IF($B$11=0,"",B15*1000/($B$11*24*28))</f>
        <v>0.11429398148148148</v>
      </c>
      <c r="C35" s="16">
        <f>IF($C$11=0,"",C15*1000/($C$11*24*28))</f>
        <v>0.15625</v>
      </c>
      <c r="D35" s="16">
        <f>IF($D$11=0,"",D15*1000/($D$11*24*28))</f>
        <v>0.11811755952380952</v>
      </c>
      <c r="E35" s="16">
        <f>IF($E$11=0,"",E15*1000/($E$11*24*28))</f>
        <v>9.9981398809523808E-2</v>
      </c>
      <c r="F35" s="16" t="str">
        <f>IF($F$11=0,"",F15*1000/($F$11*24*28))</f>
        <v/>
      </c>
      <c r="G35" s="16" t="str">
        <f>IF($G$11=0,"",G15*1000/($G$11*24*28))</f>
        <v/>
      </c>
      <c r="H35" s="16" t="str">
        <f>IF($H$11=0,"",H15*1000/($H$11*24*28))</f>
        <v/>
      </c>
      <c r="I35" s="16" t="str">
        <f>IF($I$11=0,"",I15*1000/($I$11*24*28))</f>
        <v/>
      </c>
      <c r="J35" s="16" t="str">
        <f>IF($J$11=0,"",J15*1000/($J$11*24*28))</f>
        <v/>
      </c>
      <c r="K35" s="16" t="str">
        <f>IF($K$11=0,"",K15*1000/($K$11*24*28))</f>
        <v/>
      </c>
    </row>
    <row r="36" spans="1:11">
      <c r="A36" s="1" t="s">
        <v>2</v>
      </c>
      <c r="B36" s="16">
        <f>IF($B$11=0,"",B16*1000/($B$11*24*31))</f>
        <v>0.14878285543608125</v>
      </c>
      <c r="C36" s="16">
        <f>IF($C$11=0,"",C16*1000/($C$11*24*31))</f>
        <v>0.18145161290322581</v>
      </c>
      <c r="D36" s="16">
        <f>IF($D$11=0,"",D16*1000/($D$11*24*31))</f>
        <v>0.15498991935483872</v>
      </c>
      <c r="E36" s="16">
        <f>IF($E$11=0,"",E16*1000/($E$11*24*31))</f>
        <v>0.13440860215053763</v>
      </c>
      <c r="F36" s="16" t="str">
        <f>IF($F$11=0,"",F16*1000/($F$11*24*31))</f>
        <v/>
      </c>
      <c r="G36" s="16" t="str">
        <f>IF($G$11=0,"",G16*1000/($G$11*24*31))</f>
        <v/>
      </c>
      <c r="H36" s="16" t="str">
        <f>IF($H$11=0,"",H16*1000/($H$11*24*31))</f>
        <v/>
      </c>
      <c r="I36" s="16" t="str">
        <f>IF($I$11=0,"",I16*1000/($I$11*24*31))</f>
        <v/>
      </c>
      <c r="J36" s="16" t="str">
        <f>IF($J$11=0,"",J16*1000/($J$11*24*31))</f>
        <v/>
      </c>
      <c r="K36" s="16" t="str">
        <f>IF($K$11=0,"",K16*1000/($K$11*24*31))</f>
        <v/>
      </c>
    </row>
    <row r="37" spans="1:11">
      <c r="A37" s="1" t="s">
        <v>3</v>
      </c>
      <c r="B37" s="16">
        <f>IF($B$11=0,"",B17*1000/($B$11*24*30))</f>
        <v>0.17766203703703703</v>
      </c>
      <c r="C37" s="16">
        <f>IF($C$11=0,"",C17*1000/($C$11*24*30))</f>
        <v>0.19791666666666666</v>
      </c>
      <c r="D37" s="16">
        <f>IF($D$11=0,"",D17*1000/($D$11*24*30))</f>
        <v>0.18315972222222221</v>
      </c>
      <c r="E37" s="16">
        <f>IF($E$11=0,"",E17*1000/($E$11*24*30))</f>
        <v>0.16710069444444445</v>
      </c>
      <c r="F37" s="16" t="str">
        <f>IF($F$11=0,"",F17*1000/($F$11*24*30))</f>
        <v/>
      </c>
      <c r="G37" s="16" t="str">
        <f>IF($G$11=0,"",G17*1000/($G$11*24*30))</f>
        <v/>
      </c>
      <c r="H37" s="16" t="str">
        <f>IF($H$11=0,"",H17*1000/($H$11*24*30))</f>
        <v/>
      </c>
      <c r="I37" s="16" t="str">
        <f>IF($I$11=0,"",I17*1000/($I$11*24*30))</f>
        <v/>
      </c>
      <c r="J37" s="16" t="str">
        <f>IF($J$11=0,"",J17*1000/($J$11*24*30))</f>
        <v/>
      </c>
      <c r="K37" s="16" t="str">
        <f>IF($K$11=0,"",K17*1000/($K$11*24*30))</f>
        <v/>
      </c>
    </row>
    <row r="38" spans="1:11">
      <c r="A38" s="1" t="s">
        <v>4</v>
      </c>
      <c r="B38" s="16">
        <f>IF($B$11=0,"",B18*1000/($B$11*24*31))</f>
        <v>0.19153225806451613</v>
      </c>
      <c r="C38" s="16">
        <f>IF($C$11=0,"",C18*1000/($C$11*24*31))</f>
        <v>0.19657258064516128</v>
      </c>
      <c r="D38" s="16">
        <f>IF($D$11=0,"",D18*1000/($D$11*24*31))</f>
        <v>0.20371303763440859</v>
      </c>
      <c r="E38" s="16">
        <f>IF($E$11=0,"",E18*1000/($E$11*24*31))</f>
        <v>0.17809139784946237</v>
      </c>
      <c r="F38" s="16" t="str">
        <f>IF($F$11=0,"",F18*1000/($F$11*24*31))</f>
        <v/>
      </c>
      <c r="G38" s="16" t="str">
        <f>IF($G$11=0,"",G18*1000/($G$11*24*31))</f>
        <v/>
      </c>
      <c r="H38" s="16" t="str">
        <f>IF($H$11=0,"",H18*1000/($H$11*24*31))</f>
        <v/>
      </c>
      <c r="I38" s="16" t="str">
        <f>IF($I$11=0,"",I18*1000/($I$11*24*31))</f>
        <v/>
      </c>
      <c r="J38" s="16" t="str">
        <f>IF($J$11=0,"",J18*1000/($J$11*24*31))</f>
        <v/>
      </c>
      <c r="K38" s="16" t="str">
        <f>IF($K$11=0,"",K18*1000/($K$11*24*31))</f>
        <v/>
      </c>
    </row>
    <row r="39" spans="1:11">
      <c r="A39" s="1" t="s">
        <v>5</v>
      </c>
      <c r="B39" s="16">
        <f>IF($B$11=0,"",B19*1000/($B$11*24*30))</f>
        <v>0.20698302469135801</v>
      </c>
      <c r="C39" s="16">
        <f>IF($C$11=0,"",C19*1000/($C$11*24*30))</f>
        <v>0.20659722222222221</v>
      </c>
      <c r="D39" s="16">
        <f>IF($D$11=0,"",D19*1000/($D$11*24*30))</f>
        <v>0.21527777777777779</v>
      </c>
      <c r="E39" s="16">
        <f>IF($E$11=0,"",E19*1000/($E$11*24*30))</f>
        <v>0.19878472222222221</v>
      </c>
      <c r="F39" s="16" t="str">
        <f>IF($F$11=0,"",F19*1000/($F$11*24*30))</f>
        <v/>
      </c>
      <c r="G39" s="16" t="str">
        <f>IF($G$11=0,"",G19*1000/($G$11*24*30))</f>
        <v/>
      </c>
      <c r="H39" s="16" t="str">
        <f>IF($H$11=0,"",H19*1000/($H$11*24*30))</f>
        <v/>
      </c>
      <c r="I39" s="16" t="str">
        <f>IF($I$11=0,"",I19*1000/($I$11*24*30))</f>
        <v/>
      </c>
      <c r="J39" s="16" t="str">
        <f>IF($J$11=0,"",J19*1000/($J$11*24*30))</f>
        <v/>
      </c>
      <c r="K39" s="16" t="str">
        <f>IF($K$11=0,"",K19*1000/($K$11*24*30))</f>
        <v/>
      </c>
    </row>
    <row r="40" spans="1:11">
      <c r="A40" s="1" t="s">
        <v>6</v>
      </c>
      <c r="B40" s="16">
        <f>IF($B$11=0,"",B20*1000/($B$11*24*31))</f>
        <v>0.18835872162485065</v>
      </c>
      <c r="C40" s="16">
        <f>IF($C$11=0,"",C20*1000/($C$11*24*31))</f>
        <v>0.19321236559139784</v>
      </c>
      <c r="D40" s="16">
        <f>IF($D$11=0,"",D20*1000/($D$11*24*31))</f>
        <v>0.2049731182795699</v>
      </c>
      <c r="E40" s="16">
        <f>IF($E$11=0,"",E20*1000/($E$11*24*31))</f>
        <v>0.17053091397849462</v>
      </c>
      <c r="F40" s="16" t="str">
        <f>IF($F$11=0,"",F20*1000/($F$11*24*31))</f>
        <v/>
      </c>
      <c r="G40" s="16" t="str">
        <f>IF($G$11=0,"",G20*1000/($G$11*24*31))</f>
        <v/>
      </c>
      <c r="H40" s="16" t="str">
        <f>IF($H$11=0,"",H20*1000/($H$11*24*31))</f>
        <v/>
      </c>
      <c r="I40" s="16" t="str">
        <f>IF($I$11=0,"",I20*1000/($I$11*24*31))</f>
        <v/>
      </c>
      <c r="J40" s="16" t="str">
        <f>IF($J$11=0,"",J20*1000/($J$11*24*31))</f>
        <v/>
      </c>
      <c r="K40" s="16" t="str">
        <f>IF($K$11=0,"",K20*1000/($K$11*24*31))</f>
        <v/>
      </c>
    </row>
    <row r="41" spans="1:11">
      <c r="A41" s="1" t="s">
        <v>7</v>
      </c>
      <c r="B41" s="16">
        <f>IF($B$11=0,"",B21*1000/($B$11*24*31))</f>
        <v>0.1784647550776583</v>
      </c>
      <c r="C41" s="16">
        <f>IF($C$11=0,"",C21*1000/($C$11*24*31))</f>
        <v>0.19321236559139784</v>
      </c>
      <c r="D41" s="16">
        <f>IF($D$11=0,"",D21*1000/($D$11*24*31))</f>
        <v>0.19069220430107528</v>
      </c>
      <c r="E41" s="16">
        <f>IF($E$11=0,"",E21*1000/($E$11*24*31))</f>
        <v>0.16255040322580644</v>
      </c>
      <c r="F41" s="16" t="str">
        <f>IF($F$11=0,"",F21*1000/($F$11*24*31))</f>
        <v/>
      </c>
      <c r="G41" s="16" t="str">
        <f>IF($G$11=0,"",G21*1000/($G$11*24*31))</f>
        <v/>
      </c>
      <c r="H41" s="16" t="str">
        <f>IF($H$11=0,"",H21*1000/($H$11*24*31))</f>
        <v/>
      </c>
      <c r="I41" s="16" t="str">
        <f>IF($I$11=0,"",I21*1000/($I$11*24*31))</f>
        <v/>
      </c>
      <c r="J41" s="16" t="str">
        <f>IF($J$11=0,"",J21*1000/($J$11*24*31))</f>
        <v/>
      </c>
      <c r="K41" s="16" t="str">
        <f>IF($K$11=0,"",K21*1000/($K$11*24*31))</f>
        <v/>
      </c>
    </row>
    <row r="42" spans="1:11">
      <c r="A42" s="1" t="s">
        <v>8</v>
      </c>
      <c r="B42" s="16">
        <f>IF($B$11=0,"",B22*1000/($B$11*24*30))</f>
        <v>0.1566358024691358</v>
      </c>
      <c r="C42" s="16">
        <f>IF($C$11=0,"",C22*1000/($C$11*24*30))</f>
        <v>0.18402777777777779</v>
      </c>
      <c r="D42" s="16">
        <f>IF($D$11=0,"",D22*1000/($D$11*24*30))</f>
        <v>0.1640625</v>
      </c>
      <c r="E42" s="16">
        <f>IF($E$11=0,"",E22*1000/($E$11*24*30))</f>
        <v>0.1423611111111111</v>
      </c>
      <c r="F42" s="16" t="str">
        <f>IF($F$11=0,"",F22*1000/($F$11*24*30))</f>
        <v/>
      </c>
      <c r="G42" s="16" t="str">
        <f>IF($G$11=0,"",G22*1000/($G$11*24*30))</f>
        <v/>
      </c>
      <c r="H42" s="16" t="str">
        <f>IF($H$11=0,"",H22*1000/($H$11*24*30))</f>
        <v/>
      </c>
      <c r="I42" s="16" t="str">
        <f>IF($I$11=0,"",I22*1000/($I$11*24*30))</f>
        <v/>
      </c>
      <c r="J42" s="16" t="str">
        <f>IF($J$11=0,"",J22*1000/($J$11*24*30))</f>
        <v/>
      </c>
      <c r="K42" s="16" t="str">
        <f>IF($K$11=0,"",K22*1000/($K$11*24*30))</f>
        <v/>
      </c>
    </row>
    <row r="43" spans="1:11">
      <c r="A43" s="1" t="s">
        <v>9</v>
      </c>
      <c r="B43" s="16">
        <f>IF($B$11=0,"",B23*1000/($B$11*24*31))</f>
        <v>0.11574074074074074</v>
      </c>
      <c r="C43" s="16">
        <f>IF($C$11=0,"",C23*1000/($C$11*24*31))</f>
        <v>0.15288978494623656</v>
      </c>
      <c r="D43" s="16">
        <f>IF($D$11=0,"",D23*1000/($D$11*24*31))</f>
        <v>0.12054771505376344</v>
      </c>
      <c r="E43" s="16">
        <f>IF($E$11=0,"",E23*1000/($E$11*24*31))</f>
        <v>0.10164650537634409</v>
      </c>
      <c r="F43" s="16" t="str">
        <f>IF($F$11=0,"",F23*1000/($F$11*24*31))</f>
        <v/>
      </c>
      <c r="G43" s="16" t="str">
        <f>IF($G$11=0,"",G23*1000/($G$11*24*31))</f>
        <v/>
      </c>
      <c r="H43" s="16" t="str">
        <f>IF($H$11=0,"",H23*1000/($H$11*24*31))</f>
        <v/>
      </c>
      <c r="I43" s="16" t="str">
        <f>IF($I$11=0,"",I23*1000/($I$11*24*31))</f>
        <v/>
      </c>
      <c r="J43" s="16" t="str">
        <f>IF($J$11=0,"",J23*1000/($J$11*24*31))</f>
        <v/>
      </c>
      <c r="K43" s="16" t="str">
        <f>IF($K$11=0,"",K23*1000/($K$11*24*31))</f>
        <v/>
      </c>
    </row>
    <row r="44" spans="1:11">
      <c r="A44" s="1" t="s">
        <v>10</v>
      </c>
      <c r="B44" s="16">
        <f>IF($B$11=0,"",B24*1000/($B$11*24*30))</f>
        <v>9.4521604938271608E-2</v>
      </c>
      <c r="C44" s="16">
        <f>IF($C$11=0,"",C24*1000/($C$11*24*30))</f>
        <v>0.140625</v>
      </c>
      <c r="D44" s="16">
        <f>IF($D$11=0,"",D24*1000/($D$11*24*30))</f>
        <v>9.8958333333333329E-2</v>
      </c>
      <c r="E44" s="16">
        <f>IF($E$11=0,"",E24*1000/($E$11*24*30))</f>
        <v>7.8559027777777776E-2</v>
      </c>
      <c r="F44" s="16" t="str">
        <f>IF($F$11=0,"",F24*1000/($F$11*24*30))</f>
        <v/>
      </c>
      <c r="G44" s="16" t="str">
        <f>IF($G$11=0,"",G24*1000/($G$11*24*30))</f>
        <v/>
      </c>
      <c r="H44" s="16" t="str">
        <f>IF($H$11=0,"",H24*1000/($H$11*24*30))</f>
        <v/>
      </c>
      <c r="I44" s="16" t="str">
        <f>IF($I$11=0,"",I24*1000/($I$11*24*30))</f>
        <v/>
      </c>
      <c r="J44" s="16" t="str">
        <f>IF($J$11=0,"",J24*1000/($J$11*24*30))</f>
        <v/>
      </c>
      <c r="K44" s="16" t="str">
        <f>IF($K$11=0,"",K24*1000/($K$11*24*30))</f>
        <v/>
      </c>
    </row>
    <row r="45" spans="1:11">
      <c r="A45" s="13" t="s">
        <v>11</v>
      </c>
      <c r="B45" s="104">
        <f>IF($B$11=0,"",B25*1000/($B$11*24*31))</f>
        <v>7.765830346475508E-2</v>
      </c>
      <c r="C45" s="104">
        <f>IF($C$11=0,"",C25*1000/($C$11*24*31))</f>
        <v>0.12432795698924731</v>
      </c>
      <c r="D45" s="104">
        <f>IF($D$11=0,"",D25*1000/($D$11*24*31))</f>
        <v>8.2745295698924734E-2</v>
      </c>
      <c r="E45" s="104">
        <f>IF($E$11=0,"",E25*1000/($E$11*24*31))</f>
        <v>6.0903897849462367E-2</v>
      </c>
      <c r="F45" s="104" t="str">
        <f>IF($F$11=0,"",F25*1000/($F$11*24*31))</f>
        <v/>
      </c>
      <c r="G45" s="104" t="str">
        <f>IF($G$11=0,"",G25*1000/($G$11*24*31))</f>
        <v/>
      </c>
      <c r="H45" s="104" t="str">
        <f>IF($H$11=0,"",H25*1000/($H$11*24*31))</f>
        <v/>
      </c>
      <c r="I45" s="104" t="str">
        <f>IF($I$11=0,"",I25*1000/($I$11*24*31))</f>
        <v/>
      </c>
      <c r="J45" s="104" t="str">
        <f>IF($J$11=0,"",J25*1000/($J$11*24*31))</f>
        <v/>
      </c>
      <c r="K45" s="104" t="str">
        <f>IF($K$11=0,"",K25*1000/($K$11*24*31))</f>
        <v/>
      </c>
    </row>
    <row r="46" spans="1:11">
      <c r="A46" s="102" t="s">
        <v>52</v>
      </c>
      <c r="B46" s="16">
        <f>IF($B$11=0,"",B26*1000/($B$11*24*365))</f>
        <v>0.14454908675799086</v>
      </c>
      <c r="C46" s="16">
        <f>IF($C$11=0,"",C26*1000/($C$11*24*365))</f>
        <v>0.17109018264840184</v>
      </c>
      <c r="D46" s="16">
        <f>IF($D$11=0,"",D26*1000/($D$11*24*365))</f>
        <v>0.1521832191780822</v>
      </c>
      <c r="E46" s="16">
        <f>IF($E$11=0,"",E26*1000/($E$11*24*365))</f>
        <v>0.1302796803652968</v>
      </c>
      <c r="F46" s="16" t="str">
        <f>IF($F$11=0,"",F26*1000/($F$11*24*365))</f>
        <v/>
      </c>
      <c r="G46" s="16" t="str">
        <f>IF($G$11=0,"",G26*1000/($G$11*24*365))</f>
        <v/>
      </c>
      <c r="H46" s="16" t="str">
        <f>IF($H$11=0,"",H26*1000/($H$11*24*365))</f>
        <v/>
      </c>
      <c r="I46" s="16" t="str">
        <f>IF($I$11=0,"",I26*1000/($I$11*24*365))</f>
        <v/>
      </c>
      <c r="J46" s="16" t="str">
        <f>IF($J$11=0,"",J26*1000/($J$11*24*365))</f>
        <v/>
      </c>
      <c r="K46" s="16" t="str">
        <f>IF($K$11=0,"",K26*1000/($K$11*24*365))</f>
        <v/>
      </c>
    </row>
  </sheetData>
  <mergeCells count="2">
    <mergeCell ref="A10:K10"/>
    <mergeCell ref="A32:K32"/>
  </mergeCells>
  <pageMargins left="0.7" right="0.7" top="0.75" bottom="0.75" header="0.3" footer="0.3"/>
  <pageSetup orientation="portrait" horizontalDpi="4294967293" verticalDpi="4294967293" r:id="rId1"/>
  <ignoredErrors>
    <ignoredError sqref="B35 B37:B44 C35:H44 I35:J44 K35:K44" formula="1"/>
  </ignoredErrors>
  <drawing r:id="rId2"/>
</worksheet>
</file>

<file path=xl/worksheets/sheet3.xml><?xml version="1.0" encoding="utf-8"?>
<worksheet xmlns="http://schemas.openxmlformats.org/spreadsheetml/2006/main" xmlns:r="http://schemas.openxmlformats.org/officeDocument/2006/relationships">
  <dimension ref="A1:AG101"/>
  <sheetViews>
    <sheetView workbookViewId="0">
      <selection activeCell="A2" sqref="A2"/>
    </sheetView>
  </sheetViews>
  <sheetFormatPr defaultRowHeight="14.5"/>
  <cols>
    <col min="1" max="2" width="10.6328125" customWidth="1"/>
    <col min="3" max="5" width="7.6328125" customWidth="1"/>
    <col min="6" max="9" width="6.6328125" customWidth="1"/>
    <col min="10" max="11" width="10.6328125" customWidth="1"/>
    <col min="12" max="14" width="7.6328125" customWidth="1"/>
    <col min="15" max="18" width="6.6328125" customWidth="1"/>
    <col min="19" max="20" width="10.6328125" customWidth="1"/>
    <col min="21" max="23" width="7.6328125" customWidth="1"/>
    <col min="24" max="27" width="6.6328125" customWidth="1"/>
    <col min="28" max="29" width="10.6328125" customWidth="1"/>
    <col min="30" max="34" width="7.6328125" customWidth="1"/>
    <col min="35" max="37" width="6.6328125" customWidth="1"/>
    <col min="38" max="38" width="6.81640625" customWidth="1"/>
  </cols>
  <sheetData>
    <row r="1" spans="1:1" ht="25" customHeight="1">
      <c r="A1" s="73" t="s">
        <v>157</v>
      </c>
    </row>
    <row r="2" spans="1:1" ht="20" customHeight="1">
      <c r="A2" s="7"/>
    </row>
    <row r="3" spans="1:1" ht="15" customHeight="1">
      <c r="A3" s="5" t="s">
        <v>174</v>
      </c>
    </row>
    <row r="4" spans="1:1" ht="15" customHeight="1">
      <c r="A4" s="7"/>
    </row>
    <row r="5" spans="1:1" ht="15" customHeight="1">
      <c r="A5" s="72" t="s">
        <v>175</v>
      </c>
    </row>
    <row r="6" spans="1:1" ht="15" customHeight="1">
      <c r="A6" s="56" t="s">
        <v>138</v>
      </c>
    </row>
    <row r="7" spans="1:1" ht="15" customHeight="1">
      <c r="A7" s="9" t="s">
        <v>139</v>
      </c>
    </row>
    <row r="8" spans="1:1" ht="15" customHeight="1">
      <c r="A8" s="9"/>
    </row>
    <row r="9" spans="1:1" ht="15" customHeight="1">
      <c r="A9" t="s">
        <v>176</v>
      </c>
    </row>
    <row r="10" spans="1:1" ht="15" customHeight="1">
      <c r="A10" t="s">
        <v>177</v>
      </c>
    </row>
    <row r="11" spans="1:1" ht="15" customHeight="1">
      <c r="A11" s="9" t="s">
        <v>144</v>
      </c>
    </row>
    <row r="12" spans="1:1" ht="15" customHeight="1">
      <c r="A12" s="6" t="s">
        <v>146</v>
      </c>
    </row>
    <row r="13" spans="1:1" ht="15" customHeight="1">
      <c r="A13" s="6" t="s">
        <v>178</v>
      </c>
    </row>
    <row r="14" spans="1:1" ht="15" customHeight="1">
      <c r="A14" s="6" t="s">
        <v>126</v>
      </c>
    </row>
    <row r="15" spans="1:1" ht="15" customHeight="1">
      <c r="A15" s="70"/>
    </row>
    <row r="16" spans="1:1" ht="15" customHeight="1">
      <c r="A16" t="s">
        <v>179</v>
      </c>
    </row>
    <row r="17" spans="1:28" ht="15" customHeight="1">
      <c r="A17" t="s">
        <v>180</v>
      </c>
    </row>
    <row r="18" spans="1:28" ht="15" customHeight="1"/>
    <row r="19" spans="1:28" ht="15" customHeight="1">
      <c r="A19" s="9" t="s">
        <v>43</v>
      </c>
    </row>
    <row r="20" spans="1:28" ht="15" customHeight="1">
      <c r="A20" s="9" t="s">
        <v>27</v>
      </c>
    </row>
    <row r="21" spans="1:28" ht="15" customHeight="1">
      <c r="A21" s="9" t="s">
        <v>143</v>
      </c>
    </row>
    <row r="22" spans="1:28" ht="15" customHeight="1">
      <c r="A22" s="9" t="s">
        <v>22</v>
      </c>
    </row>
    <row r="23" spans="1:28" ht="15" customHeight="1"/>
    <row r="24" spans="1:28" ht="15" customHeight="1">
      <c r="A24" s="9"/>
    </row>
    <row r="25" spans="1:28" ht="15" customHeight="1">
      <c r="A25" s="54" t="s">
        <v>158</v>
      </c>
    </row>
    <row r="26" spans="1:28" ht="15" customHeight="1">
      <c r="A26" s="56"/>
    </row>
    <row r="27" spans="1:28" ht="15" customHeight="1">
      <c r="A27" s="10" t="s">
        <v>24</v>
      </c>
      <c r="B27" s="3" t="s">
        <v>21</v>
      </c>
      <c r="C27" s="3" t="s">
        <v>14</v>
      </c>
      <c r="D27" s="3" t="s">
        <v>15</v>
      </c>
    </row>
    <row r="28" spans="1:28" ht="15" customHeight="1">
      <c r="A28" s="4" t="s">
        <v>25</v>
      </c>
      <c r="B28">
        <f>O46+F46</f>
        <v>6117</v>
      </c>
      <c r="C28">
        <f>P46+G46</f>
        <v>8850</v>
      </c>
      <c r="D28">
        <f>C28-B28</f>
        <v>2733</v>
      </c>
    </row>
    <row r="29" spans="1:28" ht="15" customHeight="1">
      <c r="A29" s="4" t="s">
        <v>70</v>
      </c>
      <c r="B29" s="2">
        <f>O48+F48</f>
        <v>867.55000000000007</v>
      </c>
      <c r="C29" s="2">
        <f>P48+G48</f>
        <v>1251.0900000000001</v>
      </c>
      <c r="D29" s="2">
        <f>C29-B29</f>
        <v>383.54000000000008</v>
      </c>
      <c r="E29" s="5" t="s">
        <v>134</v>
      </c>
    </row>
    <row r="30" spans="1:28" ht="15" customHeight="1">
      <c r="A30" s="4"/>
      <c r="B30" s="2"/>
      <c r="C30" s="2"/>
      <c r="D30" s="2"/>
      <c r="E30" s="5"/>
    </row>
    <row r="31" spans="1:28" ht="15" customHeight="1">
      <c r="A31" s="4"/>
      <c r="C31" s="109">
        <v>2023</v>
      </c>
      <c r="D31" s="109"/>
      <c r="E31" s="109"/>
      <c r="F31" s="109"/>
      <c r="G31" s="109"/>
      <c r="H31" s="109"/>
      <c r="I31" s="109"/>
      <c r="J31" s="109"/>
      <c r="L31" s="109">
        <v>2024</v>
      </c>
      <c r="M31" s="109"/>
      <c r="N31" s="109"/>
      <c r="O31" s="109"/>
      <c r="P31" s="109"/>
      <c r="Q31" s="109"/>
      <c r="R31" s="109"/>
      <c r="S31" s="109"/>
      <c r="U31" s="109">
        <v>2025</v>
      </c>
      <c r="V31" s="109"/>
      <c r="W31" s="109"/>
      <c r="X31" s="109"/>
      <c r="Y31" s="109"/>
      <c r="Z31" s="109"/>
      <c r="AA31" s="109"/>
      <c r="AB31" s="109"/>
    </row>
    <row r="32" spans="1:28" ht="15" customHeight="1">
      <c r="A32" s="4"/>
      <c r="C32" s="108" t="s">
        <v>130</v>
      </c>
      <c r="D32" s="108"/>
      <c r="E32" s="108"/>
      <c r="F32" s="108" t="s">
        <v>131</v>
      </c>
      <c r="G32" s="108"/>
      <c r="H32" s="108"/>
      <c r="I32" s="52" t="s">
        <v>124</v>
      </c>
      <c r="J32" s="11" t="s">
        <v>69</v>
      </c>
      <c r="L32" s="108" t="s">
        <v>130</v>
      </c>
      <c r="M32" s="108"/>
      <c r="N32" s="108"/>
      <c r="O32" s="108" t="s">
        <v>131</v>
      </c>
      <c r="P32" s="108"/>
      <c r="Q32" s="108"/>
      <c r="R32" s="53" t="s">
        <v>124</v>
      </c>
      <c r="S32" s="11" t="s">
        <v>69</v>
      </c>
      <c r="U32" s="108" t="s">
        <v>130</v>
      </c>
      <c r="V32" s="108"/>
      <c r="W32" s="108"/>
      <c r="X32" s="108" t="s">
        <v>131</v>
      </c>
      <c r="Y32" s="108"/>
      <c r="Z32" s="108"/>
      <c r="AA32" s="53" t="s">
        <v>124</v>
      </c>
      <c r="AB32" s="11" t="s">
        <v>69</v>
      </c>
    </row>
    <row r="33" spans="1:28" ht="15" customHeight="1">
      <c r="A33" s="41" t="s">
        <v>95</v>
      </c>
      <c r="B33" s="50" t="s">
        <v>122</v>
      </c>
      <c r="C33" s="3" t="s">
        <v>129</v>
      </c>
      <c r="D33" s="3" t="s">
        <v>128</v>
      </c>
      <c r="E33" s="3" t="s">
        <v>127</v>
      </c>
      <c r="F33" s="3" t="s">
        <v>21</v>
      </c>
      <c r="G33" s="3" t="s">
        <v>14</v>
      </c>
      <c r="H33" s="3" t="s">
        <v>15</v>
      </c>
      <c r="I33" s="3" t="s">
        <v>15</v>
      </c>
      <c r="J33" s="3" t="s">
        <v>29</v>
      </c>
      <c r="L33" s="3" t="s">
        <v>129</v>
      </c>
      <c r="M33" s="3" t="s">
        <v>128</v>
      </c>
      <c r="N33" s="3" t="s">
        <v>127</v>
      </c>
      <c r="O33" s="3" t="s">
        <v>21</v>
      </c>
      <c r="P33" s="3" t="s">
        <v>14</v>
      </c>
      <c r="Q33" s="3" t="s">
        <v>15</v>
      </c>
      <c r="R33" s="3" t="s">
        <v>15</v>
      </c>
      <c r="S33" s="3" t="s">
        <v>29</v>
      </c>
      <c r="U33" s="3" t="s">
        <v>129</v>
      </c>
      <c r="V33" s="3" t="s">
        <v>128</v>
      </c>
      <c r="W33" s="3" t="s">
        <v>127</v>
      </c>
      <c r="X33" s="3" t="s">
        <v>21</v>
      </c>
      <c r="Y33" s="3" t="s">
        <v>14</v>
      </c>
      <c r="Z33" s="3" t="s">
        <v>15</v>
      </c>
      <c r="AA33" s="3" t="s">
        <v>15</v>
      </c>
      <c r="AB33" s="3" t="s">
        <v>29</v>
      </c>
    </row>
    <row r="34" spans="1:28" ht="15" customHeight="1">
      <c r="A34" s="42">
        <f>'Pred Prod'!B14</f>
        <v>444</v>
      </c>
      <c r="B34" s="1" t="s">
        <v>0</v>
      </c>
      <c r="C34" s="1"/>
      <c r="D34" s="1"/>
      <c r="E34" s="1"/>
      <c r="K34" s="1" t="s">
        <v>0</v>
      </c>
      <c r="L34" s="1">
        <v>206</v>
      </c>
      <c r="M34" s="1">
        <v>1160</v>
      </c>
      <c r="N34" s="1">
        <v>0</v>
      </c>
      <c r="O34">
        <v>539</v>
      </c>
      <c r="P34">
        <v>343</v>
      </c>
      <c r="Q34">
        <f t="shared" ref="Q34:Q41" si="0">P34-O34</f>
        <v>-196</v>
      </c>
      <c r="R34">
        <v>-185</v>
      </c>
      <c r="S34" s="1" t="s">
        <v>34</v>
      </c>
      <c r="T34" s="1" t="s">
        <v>0</v>
      </c>
    </row>
    <row r="35" spans="1:28" ht="15" customHeight="1">
      <c r="A35" s="42">
        <f>'Pred Prod'!B15</f>
        <v>553</v>
      </c>
      <c r="B35" s="1" t="s">
        <v>1</v>
      </c>
      <c r="C35" s="1"/>
      <c r="D35" s="1"/>
      <c r="E35" s="1"/>
      <c r="K35" s="1" t="s">
        <v>136</v>
      </c>
      <c r="L35" s="1">
        <v>87</v>
      </c>
      <c r="M35" s="68">
        <v>757</v>
      </c>
      <c r="N35" s="1">
        <v>0</v>
      </c>
      <c r="O35">
        <v>376</v>
      </c>
      <c r="P35">
        <v>430</v>
      </c>
      <c r="Q35">
        <f t="shared" si="0"/>
        <v>54</v>
      </c>
      <c r="R35">
        <v>51</v>
      </c>
      <c r="S35" s="1" t="s">
        <v>35</v>
      </c>
      <c r="T35" s="1" t="s">
        <v>1</v>
      </c>
    </row>
    <row r="36" spans="1:28" ht="15" customHeight="1">
      <c r="A36" s="42">
        <f>'Pred Prod'!B16</f>
        <v>797</v>
      </c>
      <c r="B36" s="1" t="s">
        <v>2</v>
      </c>
      <c r="C36" s="1"/>
      <c r="D36" s="1"/>
      <c r="E36" s="1"/>
      <c r="K36" s="1" t="s">
        <v>137</v>
      </c>
      <c r="L36" s="1">
        <v>72</v>
      </c>
      <c r="M36" s="68">
        <v>683</v>
      </c>
      <c r="N36" s="1">
        <v>0</v>
      </c>
      <c r="O36">
        <v>367</v>
      </c>
      <c r="P36">
        <v>668</v>
      </c>
      <c r="Q36">
        <f t="shared" si="0"/>
        <v>301</v>
      </c>
      <c r="R36">
        <v>297</v>
      </c>
      <c r="S36" s="1" t="s">
        <v>36</v>
      </c>
      <c r="T36" s="1" t="s">
        <v>2</v>
      </c>
    </row>
    <row r="37" spans="1:28" ht="15" customHeight="1">
      <c r="A37" s="42">
        <f>'Pred Prod'!B17</f>
        <v>921</v>
      </c>
      <c r="B37" s="1" t="s">
        <v>3</v>
      </c>
      <c r="C37" s="1"/>
      <c r="D37" s="1"/>
      <c r="E37" s="1"/>
      <c r="K37" s="1" t="s">
        <v>3</v>
      </c>
      <c r="L37" s="1">
        <v>33</v>
      </c>
      <c r="M37" s="68">
        <v>405</v>
      </c>
      <c r="N37">
        <v>0</v>
      </c>
      <c r="O37">
        <v>353</v>
      </c>
      <c r="P37">
        <v>937</v>
      </c>
      <c r="Q37">
        <f t="shared" si="0"/>
        <v>584</v>
      </c>
      <c r="R37">
        <v>583</v>
      </c>
      <c r="S37" s="1" t="s">
        <v>37</v>
      </c>
      <c r="T37" s="1" t="s">
        <v>3</v>
      </c>
    </row>
    <row r="38" spans="1:28" ht="15" customHeight="1">
      <c r="A38" s="42">
        <f>'Pred Prod'!B18</f>
        <v>1026</v>
      </c>
      <c r="B38" s="1" t="s">
        <v>4</v>
      </c>
      <c r="C38" s="1"/>
      <c r="D38" s="1"/>
      <c r="E38" s="1"/>
      <c r="K38" s="1" t="s">
        <v>4</v>
      </c>
      <c r="L38" s="1">
        <v>22</v>
      </c>
      <c r="M38" s="1">
        <v>237</v>
      </c>
      <c r="N38">
        <v>3</v>
      </c>
      <c r="O38">
        <v>401</v>
      </c>
      <c r="P38">
        <v>1186</v>
      </c>
      <c r="Q38">
        <f t="shared" si="0"/>
        <v>785</v>
      </c>
      <c r="R38">
        <v>786</v>
      </c>
      <c r="S38" s="1" t="s">
        <v>38</v>
      </c>
      <c r="T38" s="1" t="s">
        <v>4</v>
      </c>
    </row>
    <row r="39" spans="1:28" ht="15" customHeight="1">
      <c r="A39" s="42">
        <f>'Pred Prod'!B19</f>
        <v>1073</v>
      </c>
      <c r="B39" s="1" t="s">
        <v>5</v>
      </c>
      <c r="C39" s="1"/>
      <c r="D39" s="1"/>
      <c r="E39" s="1"/>
      <c r="K39" s="1" t="s">
        <v>5</v>
      </c>
      <c r="L39" s="1">
        <v>5</v>
      </c>
      <c r="M39" s="1">
        <v>4</v>
      </c>
      <c r="N39">
        <v>251</v>
      </c>
      <c r="O39">
        <v>709</v>
      </c>
      <c r="P39">
        <v>1058</v>
      </c>
      <c r="Q39">
        <f t="shared" si="0"/>
        <v>349</v>
      </c>
      <c r="R39">
        <v>348</v>
      </c>
      <c r="S39" s="1" t="s">
        <v>39</v>
      </c>
      <c r="T39" s="1" t="s">
        <v>5</v>
      </c>
    </row>
    <row r="40" spans="1:28" ht="15" customHeight="1">
      <c r="A40" s="42">
        <f>'Pred Prod'!B20</f>
        <v>1009</v>
      </c>
      <c r="B40" s="1" t="s">
        <v>6</v>
      </c>
      <c r="C40" s="1"/>
      <c r="D40" s="1"/>
      <c r="E40" s="1"/>
      <c r="K40" s="1" t="s">
        <v>6</v>
      </c>
      <c r="L40" s="1">
        <v>5</v>
      </c>
      <c r="M40" s="1">
        <v>2</v>
      </c>
      <c r="N40">
        <v>343</v>
      </c>
      <c r="O40">
        <v>787</v>
      </c>
      <c r="P40">
        <v>1092</v>
      </c>
      <c r="Q40">
        <f t="shared" si="0"/>
        <v>305</v>
      </c>
      <c r="R40">
        <v>303</v>
      </c>
      <c r="S40" s="1" t="s">
        <v>119</v>
      </c>
      <c r="T40" s="1" t="s">
        <v>6</v>
      </c>
    </row>
    <row r="41" spans="1:28" ht="15" customHeight="1">
      <c r="A41" s="42">
        <f>'Pred Prod'!B21</f>
        <v>956</v>
      </c>
      <c r="B41" s="1" t="s">
        <v>7</v>
      </c>
      <c r="C41" s="1"/>
      <c r="D41" s="1"/>
      <c r="E41" s="1"/>
      <c r="K41" s="1" t="s">
        <v>7</v>
      </c>
      <c r="L41" s="1">
        <v>7</v>
      </c>
      <c r="M41" s="1">
        <v>2</v>
      </c>
      <c r="N41">
        <v>317</v>
      </c>
      <c r="O41">
        <v>794</v>
      </c>
      <c r="P41">
        <v>904</v>
      </c>
      <c r="Q41">
        <f t="shared" si="0"/>
        <v>110</v>
      </c>
      <c r="R41">
        <v>108</v>
      </c>
      <c r="S41" s="1" t="s">
        <v>121</v>
      </c>
      <c r="T41" s="1" t="s">
        <v>7</v>
      </c>
    </row>
    <row r="42" spans="1:28" ht="15" customHeight="1">
      <c r="A42" s="42">
        <f>'Pred Prod'!B22</f>
        <v>812</v>
      </c>
      <c r="B42" s="1" t="s">
        <v>8</v>
      </c>
      <c r="C42" s="1">
        <v>9</v>
      </c>
      <c r="D42" s="1">
        <v>22</v>
      </c>
      <c r="E42" s="62">
        <v>106</v>
      </c>
      <c r="F42">
        <v>364</v>
      </c>
      <c r="G42">
        <v>897</v>
      </c>
      <c r="H42">
        <f>G42-F42</f>
        <v>533</v>
      </c>
      <c r="I42">
        <v>505</v>
      </c>
      <c r="J42" s="1" t="s">
        <v>30</v>
      </c>
      <c r="K42" s="1" t="s">
        <v>8</v>
      </c>
      <c r="L42" s="1"/>
      <c r="M42" s="1"/>
      <c r="N42" s="1"/>
      <c r="S42" s="1"/>
      <c r="T42" s="1" t="s">
        <v>8</v>
      </c>
    </row>
    <row r="43" spans="1:28" ht="15" customHeight="1">
      <c r="A43" s="42">
        <f>'Pred Prod'!B23</f>
        <v>620</v>
      </c>
      <c r="B43" s="1" t="s">
        <v>9</v>
      </c>
      <c r="C43" s="1">
        <v>38</v>
      </c>
      <c r="D43" s="1">
        <v>393</v>
      </c>
      <c r="E43" s="1">
        <v>6</v>
      </c>
      <c r="F43">
        <v>392</v>
      </c>
      <c r="G43">
        <v>619</v>
      </c>
      <c r="H43">
        <f>G43-F43</f>
        <v>227</v>
      </c>
      <c r="I43">
        <v>225</v>
      </c>
      <c r="J43" s="1" t="s">
        <v>31</v>
      </c>
      <c r="K43" s="1" t="s">
        <v>9</v>
      </c>
      <c r="L43" s="1"/>
      <c r="M43" s="1"/>
      <c r="N43" s="1"/>
      <c r="S43" s="1"/>
      <c r="T43" s="1" t="s">
        <v>9</v>
      </c>
    </row>
    <row r="44" spans="1:28" ht="15" customHeight="1">
      <c r="A44" s="42">
        <f>'Pred Prod'!B24</f>
        <v>490</v>
      </c>
      <c r="B44" s="1" t="s">
        <v>10</v>
      </c>
      <c r="C44" s="1">
        <v>117</v>
      </c>
      <c r="D44" s="1">
        <v>720</v>
      </c>
      <c r="E44" s="1">
        <v>0</v>
      </c>
      <c r="F44">
        <v>419</v>
      </c>
      <c r="G44">
        <v>389</v>
      </c>
      <c r="H44">
        <f>G44-F44</f>
        <v>-30</v>
      </c>
      <c r="I44">
        <v>-32</v>
      </c>
      <c r="J44" s="1" t="s">
        <v>32</v>
      </c>
      <c r="K44" s="1" t="s">
        <v>10</v>
      </c>
      <c r="L44" s="1"/>
      <c r="M44" s="1"/>
      <c r="N44" s="1"/>
      <c r="S44" s="1"/>
      <c r="T44" s="1" t="s">
        <v>10</v>
      </c>
    </row>
    <row r="45" spans="1:28" ht="15" customHeight="1">
      <c r="A45" s="43">
        <f>'Pred Prod'!B25</f>
        <v>416</v>
      </c>
      <c r="B45" s="13" t="s">
        <v>11</v>
      </c>
      <c r="C45" s="13">
        <v>162</v>
      </c>
      <c r="D45" s="13">
        <v>893</v>
      </c>
      <c r="E45" s="13">
        <v>0</v>
      </c>
      <c r="F45" s="14">
        <v>616</v>
      </c>
      <c r="G45" s="14">
        <v>327</v>
      </c>
      <c r="H45" s="14">
        <f>G45-F45</f>
        <v>-289</v>
      </c>
      <c r="I45" s="14">
        <v>-294</v>
      </c>
      <c r="J45" s="13" t="s">
        <v>33</v>
      </c>
      <c r="K45" s="13" t="s">
        <v>11</v>
      </c>
      <c r="L45" s="13"/>
      <c r="M45" s="13"/>
      <c r="N45" s="13"/>
      <c r="O45" s="14"/>
      <c r="P45" s="13"/>
      <c r="Q45" s="14"/>
      <c r="R45" s="14"/>
      <c r="S45" s="13"/>
      <c r="T45" s="13" t="s">
        <v>11</v>
      </c>
      <c r="U45" s="13"/>
      <c r="V45" s="13"/>
      <c r="W45" s="13"/>
      <c r="X45" s="13"/>
      <c r="Y45" s="13"/>
      <c r="Z45" s="13"/>
      <c r="AA45" s="13"/>
      <c r="AB45" s="13"/>
    </row>
    <row r="46" spans="1:28" ht="15" customHeight="1">
      <c r="A46" s="42">
        <f>'Pred Prod'!B26</f>
        <v>9117</v>
      </c>
      <c r="B46" s="4" t="s">
        <v>132</v>
      </c>
      <c r="C46" s="4"/>
      <c r="D46" s="4"/>
      <c r="E46" s="4"/>
      <c r="F46">
        <f>SUM(F34:F45)</f>
        <v>1791</v>
      </c>
      <c r="G46">
        <f>SUM(G34:G45)</f>
        <v>2232</v>
      </c>
      <c r="H46">
        <f>G46-F46</f>
        <v>441</v>
      </c>
      <c r="I46">
        <f>SUM(I34:I45)</f>
        <v>404</v>
      </c>
      <c r="J46" s="26" t="s">
        <v>71</v>
      </c>
      <c r="K46" s="4" t="s">
        <v>132</v>
      </c>
      <c r="L46" s="57">
        <f>SUM(L34:L45)</f>
        <v>437</v>
      </c>
      <c r="M46" s="57">
        <f>SUM(M34:M45)</f>
        <v>3250</v>
      </c>
      <c r="N46" s="57">
        <f>SUM(N34:N45)</f>
        <v>914</v>
      </c>
      <c r="O46">
        <f>SUM(O34:O45)</f>
        <v>4326</v>
      </c>
      <c r="P46">
        <f>SUM(P34:P45)</f>
        <v>6618</v>
      </c>
      <c r="Q46">
        <f>P46-O46</f>
        <v>2292</v>
      </c>
      <c r="R46">
        <f>SUM(R34:R45)</f>
        <v>2291</v>
      </c>
      <c r="S46" s="1" t="s">
        <v>40</v>
      </c>
      <c r="T46" s="4" t="s">
        <v>132</v>
      </c>
    </row>
    <row r="47" spans="1:28" ht="15" customHeight="1">
      <c r="A47" s="42">
        <v>8917</v>
      </c>
      <c r="B47" s="51" t="s">
        <v>123</v>
      </c>
      <c r="L47" s="51"/>
      <c r="M47" s="51"/>
      <c r="N47" s="51"/>
    </row>
    <row r="48" spans="1:28" ht="15" customHeight="1">
      <c r="A48" s="4"/>
      <c r="B48" s="4"/>
      <c r="C48" s="4"/>
      <c r="D48" s="4"/>
      <c r="E48" s="4" t="s">
        <v>70</v>
      </c>
      <c r="F48" s="2">
        <f>(F51*F42) + (F52*(F43+F44+F45))</f>
        <v>236.47000000000003</v>
      </c>
      <c r="G48" s="2">
        <f>(F51*G42) + (F52*(G43+G44+G45))</f>
        <v>299.13</v>
      </c>
      <c r="H48" s="2">
        <f>G48-F48</f>
        <v>62.659999999999968</v>
      </c>
      <c r="I48" s="2"/>
      <c r="K48" s="4"/>
      <c r="L48" s="4"/>
      <c r="M48" s="4"/>
      <c r="N48" s="4" t="s">
        <v>70</v>
      </c>
      <c r="O48" s="2">
        <f>(O50*(SUM(O34:O38))+(O51*(SUM(O39:O42))+(O52*(SUM(O43:O45)))))</f>
        <v>631.08000000000004</v>
      </c>
      <c r="P48" s="2">
        <f>(O50*(SUM(P34:P38))+(O51*(SUM(P39:P42))+(O52*(SUM(P43:P45)))))</f>
        <v>951.96</v>
      </c>
      <c r="Q48" s="2">
        <f>P48-O48</f>
        <v>320.88</v>
      </c>
      <c r="R48" s="2"/>
      <c r="S48" s="2"/>
    </row>
    <row r="49" spans="1:33" ht="15" customHeight="1">
      <c r="A49" s="4"/>
      <c r="B49" s="5" t="s">
        <v>26</v>
      </c>
      <c r="C49" s="4"/>
      <c r="D49" s="4"/>
      <c r="E49" s="4"/>
      <c r="F49" s="2"/>
      <c r="G49" s="2"/>
      <c r="H49" s="2"/>
      <c r="I49" s="2"/>
      <c r="L49" s="5"/>
      <c r="M49" s="5"/>
      <c r="N49" s="5"/>
      <c r="O49" s="2"/>
      <c r="P49" s="2"/>
      <c r="Q49" s="2"/>
      <c r="R49" s="2"/>
      <c r="S49" s="2"/>
    </row>
    <row r="50" spans="1:33" ht="15" customHeight="1">
      <c r="A50" s="4"/>
      <c r="B50" s="4"/>
      <c r="C50" s="4"/>
      <c r="D50" s="4"/>
      <c r="E50" s="4"/>
      <c r="F50" s="25">
        <v>0.13</v>
      </c>
      <c r="G50" s="2" t="s">
        <v>73</v>
      </c>
      <c r="H50" s="2"/>
      <c r="I50" s="2"/>
      <c r="K50" s="4"/>
      <c r="L50" s="4"/>
      <c r="M50" s="4"/>
      <c r="N50" s="4"/>
      <c r="O50" s="25">
        <v>0.13</v>
      </c>
      <c r="P50" s="2" t="s">
        <v>73</v>
      </c>
      <c r="Q50" s="2"/>
      <c r="R50" s="2"/>
      <c r="S50" s="2"/>
    </row>
    <row r="51" spans="1:33" ht="15" customHeight="1">
      <c r="A51" s="4"/>
      <c r="B51" s="4"/>
      <c r="C51" s="4"/>
      <c r="D51" s="4"/>
      <c r="E51" s="4"/>
      <c r="F51" s="25">
        <v>0.14000000000000001</v>
      </c>
      <c r="G51" s="2" t="s">
        <v>72</v>
      </c>
      <c r="H51" s="2"/>
      <c r="I51" s="2"/>
      <c r="K51" s="4"/>
      <c r="L51" s="4"/>
      <c r="M51" s="4"/>
      <c r="N51" s="4"/>
      <c r="O51" s="25">
        <v>0.16</v>
      </c>
      <c r="P51" s="2" t="s">
        <v>72</v>
      </c>
      <c r="Q51" s="2"/>
      <c r="R51" s="2"/>
      <c r="S51" s="2"/>
    </row>
    <row r="52" spans="1:33" ht="15" customHeight="1">
      <c r="A52" s="4"/>
      <c r="F52" s="25">
        <v>0.13</v>
      </c>
      <c r="G52" t="s">
        <v>74</v>
      </c>
      <c r="H52" s="1"/>
      <c r="I52" s="1"/>
      <c r="O52" s="17"/>
      <c r="P52" t="s">
        <v>74</v>
      </c>
      <c r="Q52" s="1"/>
      <c r="R52" s="1"/>
      <c r="S52" s="1"/>
    </row>
    <row r="53" spans="1:33" ht="15" customHeight="1">
      <c r="A53" s="4"/>
      <c r="B53" s="2"/>
      <c r="C53" s="2"/>
      <c r="D53" s="2"/>
      <c r="E53" s="5"/>
    </row>
    <row r="54" spans="1:33" ht="15" customHeight="1">
      <c r="F54" s="17"/>
      <c r="H54" s="1"/>
      <c r="I54" s="1"/>
      <c r="J54" s="1"/>
      <c r="O54" s="25"/>
      <c r="Q54" s="1"/>
      <c r="R54" s="1"/>
    </row>
    <row r="55" spans="1:33" ht="15" customHeight="1">
      <c r="A55" s="54" t="s">
        <v>133</v>
      </c>
      <c r="F55" s="17"/>
      <c r="H55" s="1"/>
      <c r="I55" s="1"/>
      <c r="J55" s="1"/>
      <c r="O55" s="25"/>
      <c r="Q55" s="1"/>
      <c r="R55" s="1"/>
    </row>
    <row r="56" spans="1:33" ht="15" customHeight="1">
      <c r="C56" s="108">
        <v>2021</v>
      </c>
      <c r="D56" s="108"/>
      <c r="E56" s="108"/>
      <c r="F56" s="108"/>
      <c r="H56" s="1"/>
      <c r="I56" s="1"/>
      <c r="J56" s="1"/>
      <c r="L56" s="108">
        <v>2022</v>
      </c>
      <c r="M56" s="108"/>
      <c r="N56" s="108"/>
      <c r="O56" s="108"/>
      <c r="Q56" s="1"/>
      <c r="R56" s="1"/>
      <c r="U56" s="108">
        <v>2023</v>
      </c>
      <c r="V56" s="108"/>
      <c r="W56" s="108"/>
      <c r="X56" s="108"/>
      <c r="AD56" s="108" t="s">
        <v>140</v>
      </c>
      <c r="AE56" s="108"/>
      <c r="AF56" s="108"/>
      <c r="AG56" s="108"/>
    </row>
    <row r="57" spans="1:33" ht="15" customHeight="1">
      <c r="C57" s="49" t="s">
        <v>129</v>
      </c>
      <c r="D57" s="3" t="s">
        <v>128</v>
      </c>
      <c r="E57" s="3" t="s">
        <v>127</v>
      </c>
      <c r="F57" s="3" t="s">
        <v>21</v>
      </c>
      <c r="H57" s="1"/>
      <c r="I57" s="1"/>
      <c r="J57" s="1"/>
      <c r="L57" s="49" t="s">
        <v>129</v>
      </c>
      <c r="M57" s="3" t="s">
        <v>128</v>
      </c>
      <c r="N57" s="3" t="s">
        <v>127</v>
      </c>
      <c r="O57" s="3" t="s">
        <v>21</v>
      </c>
      <c r="Q57" s="1"/>
      <c r="R57" s="1"/>
      <c r="U57" s="3" t="s">
        <v>129</v>
      </c>
      <c r="V57" s="3" t="s">
        <v>128</v>
      </c>
      <c r="W57" s="3" t="s">
        <v>127</v>
      </c>
      <c r="X57" s="3" t="s">
        <v>21</v>
      </c>
      <c r="AD57" s="49" t="s">
        <v>129</v>
      </c>
      <c r="AE57" s="3" t="s">
        <v>128</v>
      </c>
      <c r="AF57" s="3" t="s">
        <v>127</v>
      </c>
      <c r="AG57" s="3" t="s">
        <v>21</v>
      </c>
    </row>
    <row r="58" spans="1:33" ht="15" customHeight="1">
      <c r="B58" s="1" t="s">
        <v>0</v>
      </c>
      <c r="C58">
        <v>184</v>
      </c>
      <c r="D58">
        <v>1034</v>
      </c>
      <c r="E58">
        <v>0</v>
      </c>
      <c r="F58">
        <v>635</v>
      </c>
      <c r="H58" s="1"/>
      <c r="I58" s="1"/>
      <c r="J58" s="1"/>
      <c r="K58" s="1" t="s">
        <v>0</v>
      </c>
      <c r="L58">
        <v>166</v>
      </c>
      <c r="M58">
        <v>1197</v>
      </c>
      <c r="N58">
        <v>0</v>
      </c>
      <c r="O58">
        <v>505</v>
      </c>
      <c r="Q58" s="1"/>
      <c r="R58" s="1"/>
      <c r="T58" s="1" t="s">
        <v>0</v>
      </c>
      <c r="U58">
        <v>188</v>
      </c>
      <c r="V58" s="63">
        <v>1297</v>
      </c>
      <c r="W58">
        <v>0</v>
      </c>
      <c r="X58">
        <v>495</v>
      </c>
      <c r="AC58" s="1" t="s">
        <v>0</v>
      </c>
    </row>
    <row r="59" spans="1:33" ht="15" customHeight="1">
      <c r="B59" s="1" t="s">
        <v>1</v>
      </c>
      <c r="C59">
        <v>221</v>
      </c>
      <c r="D59">
        <v>1086</v>
      </c>
      <c r="E59">
        <v>0</v>
      </c>
      <c r="F59">
        <v>566</v>
      </c>
      <c r="H59" s="1"/>
      <c r="I59" s="1"/>
      <c r="J59" s="1"/>
      <c r="K59" s="1" t="s">
        <v>1</v>
      </c>
      <c r="L59">
        <v>161</v>
      </c>
      <c r="M59">
        <v>1104</v>
      </c>
      <c r="N59">
        <v>0</v>
      </c>
      <c r="O59">
        <v>516</v>
      </c>
      <c r="Q59" s="1"/>
      <c r="R59" s="1"/>
      <c r="T59" s="1" t="s">
        <v>1</v>
      </c>
      <c r="U59">
        <v>160</v>
      </c>
      <c r="V59">
        <v>1060</v>
      </c>
      <c r="W59">
        <v>0</v>
      </c>
      <c r="X59">
        <v>444</v>
      </c>
      <c r="AC59" s="1" t="s">
        <v>1</v>
      </c>
    </row>
    <row r="60" spans="1:33" ht="15" customHeight="1">
      <c r="B60" s="1" t="s">
        <v>2</v>
      </c>
      <c r="C60">
        <v>121</v>
      </c>
      <c r="D60">
        <v>848</v>
      </c>
      <c r="E60">
        <v>0</v>
      </c>
      <c r="F60">
        <v>549</v>
      </c>
      <c r="H60" s="1"/>
      <c r="I60" s="1"/>
      <c r="J60" s="1"/>
      <c r="K60" s="1" t="s">
        <v>2</v>
      </c>
      <c r="L60">
        <v>113</v>
      </c>
      <c r="M60">
        <v>809</v>
      </c>
      <c r="N60">
        <v>0</v>
      </c>
      <c r="O60">
        <v>433</v>
      </c>
      <c r="Q60" s="1"/>
      <c r="R60" s="1"/>
      <c r="T60" s="1" t="s">
        <v>2</v>
      </c>
      <c r="U60">
        <v>113</v>
      </c>
      <c r="V60">
        <v>861</v>
      </c>
      <c r="W60">
        <v>0</v>
      </c>
      <c r="X60">
        <v>411</v>
      </c>
      <c r="AC60" s="1" t="s">
        <v>2</v>
      </c>
    </row>
    <row r="61" spans="1:33" ht="15" customHeight="1">
      <c r="B61" s="1" t="s">
        <v>3</v>
      </c>
      <c r="C61">
        <v>83</v>
      </c>
      <c r="D61">
        <v>608</v>
      </c>
      <c r="E61">
        <v>0</v>
      </c>
      <c r="F61">
        <v>482</v>
      </c>
      <c r="H61" s="1"/>
      <c r="I61" s="1"/>
      <c r="J61" s="1"/>
      <c r="K61" s="1" t="s">
        <v>3</v>
      </c>
      <c r="L61">
        <v>48</v>
      </c>
      <c r="M61">
        <v>451</v>
      </c>
      <c r="N61">
        <v>0</v>
      </c>
      <c r="O61">
        <v>347</v>
      </c>
      <c r="Q61" s="1"/>
      <c r="R61" s="1"/>
      <c r="T61" s="1" t="s">
        <v>3</v>
      </c>
      <c r="U61">
        <v>44</v>
      </c>
      <c r="V61">
        <v>547</v>
      </c>
      <c r="W61">
        <v>0</v>
      </c>
      <c r="X61">
        <v>356</v>
      </c>
      <c r="AC61" s="1" t="s">
        <v>3</v>
      </c>
    </row>
    <row r="62" spans="1:33" ht="15" customHeight="1">
      <c r="B62" s="1" t="s">
        <v>4</v>
      </c>
      <c r="C62">
        <v>31</v>
      </c>
      <c r="D62">
        <v>296</v>
      </c>
      <c r="E62">
        <v>1</v>
      </c>
      <c r="F62">
        <v>462</v>
      </c>
      <c r="H62" s="1"/>
      <c r="I62" s="1"/>
      <c r="J62" s="1"/>
      <c r="K62" s="1" t="s">
        <v>4</v>
      </c>
      <c r="L62">
        <v>24</v>
      </c>
      <c r="M62">
        <v>251</v>
      </c>
      <c r="N62">
        <v>26</v>
      </c>
      <c r="O62">
        <v>393</v>
      </c>
      <c r="Q62" s="1"/>
      <c r="R62" s="1"/>
      <c r="T62" s="1" t="s">
        <v>4</v>
      </c>
      <c r="U62">
        <v>14</v>
      </c>
      <c r="V62">
        <v>187</v>
      </c>
      <c r="W62">
        <v>0</v>
      </c>
      <c r="X62">
        <v>350</v>
      </c>
      <c r="AC62" s="1" t="s">
        <v>4</v>
      </c>
    </row>
    <row r="63" spans="1:33" ht="15" customHeight="1">
      <c r="B63" s="1" t="s">
        <v>5</v>
      </c>
      <c r="C63">
        <v>11</v>
      </c>
      <c r="D63" s="1">
        <v>22</v>
      </c>
      <c r="E63" s="1">
        <v>209</v>
      </c>
      <c r="F63">
        <v>876</v>
      </c>
      <c r="H63" s="1"/>
      <c r="I63" s="1"/>
      <c r="J63" s="1"/>
      <c r="K63" s="1" t="s">
        <v>5</v>
      </c>
      <c r="L63">
        <v>10</v>
      </c>
      <c r="M63" s="1">
        <v>26</v>
      </c>
      <c r="N63" s="1">
        <v>206</v>
      </c>
      <c r="O63">
        <v>626</v>
      </c>
      <c r="Q63" s="1"/>
      <c r="R63" s="1"/>
      <c r="T63" s="1" t="s">
        <v>5</v>
      </c>
      <c r="U63">
        <v>6</v>
      </c>
      <c r="V63" s="1">
        <v>83</v>
      </c>
      <c r="W63" s="62">
        <v>54</v>
      </c>
      <c r="X63" s="1">
        <v>355</v>
      </c>
      <c r="AC63" s="1" t="s">
        <v>5</v>
      </c>
    </row>
    <row r="64" spans="1:33" ht="15" customHeight="1">
      <c r="B64" s="1" t="s">
        <v>6</v>
      </c>
      <c r="C64">
        <v>10</v>
      </c>
      <c r="D64">
        <v>0</v>
      </c>
      <c r="E64">
        <v>361</v>
      </c>
      <c r="F64">
        <v>940</v>
      </c>
      <c r="H64" s="1"/>
      <c r="I64" s="1"/>
      <c r="J64" s="1"/>
      <c r="K64" s="1" t="s">
        <v>6</v>
      </c>
      <c r="L64">
        <v>7</v>
      </c>
      <c r="M64">
        <v>0</v>
      </c>
      <c r="N64">
        <v>374</v>
      </c>
      <c r="O64">
        <v>811</v>
      </c>
      <c r="Q64" s="1"/>
      <c r="R64" s="1"/>
      <c r="T64" s="1" t="s">
        <v>6</v>
      </c>
      <c r="U64">
        <v>7</v>
      </c>
      <c r="V64">
        <v>5</v>
      </c>
      <c r="W64" s="63">
        <v>261</v>
      </c>
      <c r="X64">
        <v>734</v>
      </c>
      <c r="AC64" s="1" t="s">
        <v>6</v>
      </c>
    </row>
    <row r="65" spans="1:33" ht="15" customHeight="1">
      <c r="B65" s="1" t="s">
        <v>7</v>
      </c>
      <c r="C65">
        <v>6</v>
      </c>
      <c r="D65">
        <v>0</v>
      </c>
      <c r="E65">
        <v>327</v>
      </c>
      <c r="F65">
        <v>811</v>
      </c>
      <c r="H65" s="1"/>
      <c r="I65" s="1"/>
      <c r="J65" s="1"/>
      <c r="K65" s="1" t="s">
        <v>7</v>
      </c>
      <c r="L65">
        <v>7</v>
      </c>
      <c r="M65">
        <v>0</v>
      </c>
      <c r="N65">
        <v>337</v>
      </c>
      <c r="O65">
        <v>995</v>
      </c>
      <c r="Q65" s="1"/>
      <c r="R65" s="1"/>
      <c r="T65" s="1" t="s">
        <v>7</v>
      </c>
      <c r="U65" s="55">
        <v>7</v>
      </c>
      <c r="V65" s="55">
        <v>3</v>
      </c>
      <c r="W65" s="69">
        <v>257</v>
      </c>
      <c r="X65" s="55">
        <v>654</v>
      </c>
      <c r="AC65" s="1" t="s">
        <v>7</v>
      </c>
    </row>
    <row r="66" spans="1:33" ht="15" customHeight="1">
      <c r="B66" s="1" t="s">
        <v>8</v>
      </c>
      <c r="C66">
        <v>7</v>
      </c>
      <c r="D66">
        <v>37</v>
      </c>
      <c r="E66">
        <v>189</v>
      </c>
      <c r="F66">
        <v>706</v>
      </c>
      <c r="H66" s="1"/>
      <c r="I66" s="1"/>
      <c r="J66" s="1"/>
      <c r="K66" s="1" t="s">
        <v>8</v>
      </c>
      <c r="L66">
        <v>9</v>
      </c>
      <c r="M66" s="58">
        <v>0</v>
      </c>
      <c r="N66" s="58">
        <v>169</v>
      </c>
      <c r="O66">
        <v>599</v>
      </c>
      <c r="Q66" s="1"/>
      <c r="R66" s="1"/>
      <c r="T66" s="1" t="s">
        <v>8</v>
      </c>
      <c r="U66" s="55">
        <v>9</v>
      </c>
      <c r="V66" s="57">
        <v>22</v>
      </c>
      <c r="W66" s="66">
        <v>106</v>
      </c>
      <c r="X66" s="57">
        <v>364</v>
      </c>
      <c r="AC66" s="1" t="s">
        <v>8</v>
      </c>
      <c r="AD66">
        <v>20</v>
      </c>
      <c r="AE66">
        <v>126</v>
      </c>
      <c r="AF66">
        <v>141</v>
      </c>
      <c r="AG66">
        <v>500</v>
      </c>
    </row>
    <row r="67" spans="1:33" ht="15" customHeight="1">
      <c r="B67" s="1" t="s">
        <v>9</v>
      </c>
      <c r="C67">
        <v>26</v>
      </c>
      <c r="D67" s="59">
        <v>327</v>
      </c>
      <c r="E67">
        <v>1</v>
      </c>
      <c r="F67">
        <v>403</v>
      </c>
      <c r="H67" s="1"/>
      <c r="I67" s="1"/>
      <c r="J67" s="1"/>
      <c r="K67" s="1" t="s">
        <v>9</v>
      </c>
      <c r="L67">
        <v>22</v>
      </c>
      <c r="M67">
        <v>398</v>
      </c>
      <c r="N67">
        <v>0</v>
      </c>
      <c r="O67">
        <v>358</v>
      </c>
      <c r="Q67" s="1"/>
      <c r="R67" s="1"/>
      <c r="T67" s="1" t="s">
        <v>9</v>
      </c>
      <c r="U67" s="55">
        <v>38</v>
      </c>
      <c r="V67" s="55">
        <v>393</v>
      </c>
      <c r="W67" s="55">
        <v>6</v>
      </c>
      <c r="X67" s="55">
        <f>F43</f>
        <v>392</v>
      </c>
      <c r="AC67" s="1" t="s">
        <v>9</v>
      </c>
      <c r="AD67">
        <v>64</v>
      </c>
      <c r="AE67">
        <v>481</v>
      </c>
      <c r="AF67">
        <v>6</v>
      </c>
      <c r="AG67">
        <v>487</v>
      </c>
    </row>
    <row r="68" spans="1:33" ht="15" customHeight="1">
      <c r="B68" s="1" t="s">
        <v>10</v>
      </c>
      <c r="C68">
        <v>79</v>
      </c>
      <c r="D68" s="58">
        <v>598</v>
      </c>
      <c r="E68">
        <v>0</v>
      </c>
      <c r="F68">
        <v>533</v>
      </c>
      <c r="H68" s="1"/>
      <c r="I68" s="1"/>
      <c r="J68" s="1"/>
      <c r="K68" s="1" t="s">
        <v>10</v>
      </c>
      <c r="L68">
        <v>127</v>
      </c>
      <c r="M68" s="58">
        <v>806</v>
      </c>
      <c r="N68">
        <v>0</v>
      </c>
      <c r="O68">
        <v>452</v>
      </c>
      <c r="Q68" s="1"/>
      <c r="R68" s="1"/>
      <c r="T68" s="1" t="s">
        <v>10</v>
      </c>
      <c r="U68" s="55">
        <v>117</v>
      </c>
      <c r="V68" s="55">
        <v>720</v>
      </c>
      <c r="W68" s="55">
        <v>0</v>
      </c>
      <c r="X68" s="55">
        <f>F44</f>
        <v>419</v>
      </c>
      <c r="AC68" s="1" t="s">
        <v>10</v>
      </c>
      <c r="AD68">
        <v>104</v>
      </c>
      <c r="AE68" s="58">
        <v>755</v>
      </c>
      <c r="AF68">
        <v>0</v>
      </c>
      <c r="AG68">
        <v>549</v>
      </c>
    </row>
    <row r="69" spans="1:33" ht="15" customHeight="1">
      <c r="B69" s="13" t="s">
        <v>11</v>
      </c>
      <c r="C69" s="14">
        <v>160</v>
      </c>
      <c r="D69" s="14">
        <v>868</v>
      </c>
      <c r="E69" s="14">
        <v>0</v>
      </c>
      <c r="F69" s="14">
        <v>649</v>
      </c>
      <c r="H69" s="1"/>
      <c r="I69" s="1"/>
      <c r="J69" s="1"/>
      <c r="K69" s="13" t="s">
        <v>11</v>
      </c>
      <c r="L69" s="14">
        <v>210</v>
      </c>
      <c r="M69" s="67">
        <v>1214</v>
      </c>
      <c r="N69" s="14">
        <v>0</v>
      </c>
      <c r="O69" s="14">
        <v>665</v>
      </c>
      <c r="Q69" s="1"/>
      <c r="R69" s="1"/>
      <c r="T69" s="13" t="s">
        <v>11</v>
      </c>
      <c r="U69" s="61">
        <v>162</v>
      </c>
      <c r="V69" s="61">
        <v>893</v>
      </c>
      <c r="W69" s="61">
        <v>0</v>
      </c>
      <c r="X69" s="61">
        <f>F45</f>
        <v>616</v>
      </c>
      <c r="AC69" s="13" t="s">
        <v>11</v>
      </c>
      <c r="AD69" s="14">
        <v>211</v>
      </c>
      <c r="AE69" s="14">
        <v>1028</v>
      </c>
      <c r="AF69" s="14">
        <v>0</v>
      </c>
      <c r="AG69" s="14">
        <v>595</v>
      </c>
    </row>
    <row r="70" spans="1:33" ht="15" customHeight="1">
      <c r="B70" s="4" t="s">
        <v>132</v>
      </c>
      <c r="C70">
        <f>SUM(C58:C69)</f>
        <v>939</v>
      </c>
      <c r="D70">
        <f>SUM(D58:D69)</f>
        <v>5724</v>
      </c>
      <c r="E70">
        <f>SUM(E58:E69)</f>
        <v>1088</v>
      </c>
      <c r="F70">
        <f>SUM(F58:F69)</f>
        <v>7612</v>
      </c>
      <c r="H70" s="1"/>
      <c r="I70" s="1"/>
      <c r="J70" s="1"/>
      <c r="K70" s="4" t="s">
        <v>132</v>
      </c>
      <c r="L70">
        <f>SUM(L58:L69)</f>
        <v>904</v>
      </c>
      <c r="M70">
        <f>SUM(M58:M69)</f>
        <v>6256</v>
      </c>
      <c r="N70">
        <f>SUM(N58:N69)</f>
        <v>1112</v>
      </c>
      <c r="O70">
        <f>SUM(O58:O69)</f>
        <v>6700</v>
      </c>
      <c r="Q70" s="1"/>
      <c r="R70" s="1"/>
      <c r="T70" s="4" t="s">
        <v>132</v>
      </c>
      <c r="U70">
        <f>SUM(U58:U69)</f>
        <v>865</v>
      </c>
      <c r="V70" s="57">
        <f>SUM(V58:V69)</f>
        <v>6071</v>
      </c>
      <c r="W70" s="57">
        <f>SUM(W58:W69)</f>
        <v>684</v>
      </c>
      <c r="X70" s="57">
        <f>SUM(X58:X69)</f>
        <v>5590</v>
      </c>
      <c r="AC70" s="4" t="s">
        <v>125</v>
      </c>
      <c r="AD70">
        <f>SUM(AD58:AD69)</f>
        <v>399</v>
      </c>
      <c r="AE70">
        <f>SUM(AE58:AE69)</f>
        <v>2390</v>
      </c>
      <c r="AF70">
        <f>SUM(AF58:AF69)</f>
        <v>147</v>
      </c>
      <c r="AG70">
        <f>SUM(AG58:AG69)</f>
        <v>2131</v>
      </c>
    </row>
    <row r="71" spans="1:33" ht="15" customHeight="1">
      <c r="F71" s="17"/>
      <c r="H71" s="1"/>
      <c r="I71" s="1"/>
      <c r="J71" s="1"/>
      <c r="O71" s="25"/>
      <c r="Q71" s="1"/>
      <c r="R71" s="1"/>
    </row>
    <row r="72" spans="1:33" ht="15" customHeight="1">
      <c r="A72" s="49" t="s">
        <v>118</v>
      </c>
    </row>
    <row r="73" spans="1:33" ht="15" customHeight="1">
      <c r="A73" s="65" t="s">
        <v>135</v>
      </c>
      <c r="B73" s="65"/>
      <c r="C73" s="65"/>
      <c r="D73" s="65"/>
      <c r="E73" s="65"/>
    </row>
    <row r="74" spans="1:33" ht="15" customHeight="1">
      <c r="A74" s="64" t="s">
        <v>182</v>
      </c>
      <c r="B74" s="64"/>
    </row>
    <row r="75" spans="1:33" ht="15" customHeight="1">
      <c r="A75" s="60" t="s">
        <v>183</v>
      </c>
      <c r="B75" s="60"/>
    </row>
    <row r="76" spans="1:33" ht="15" customHeight="1">
      <c r="A76" t="s">
        <v>141</v>
      </c>
    </row>
    <row r="77" spans="1:33" ht="15" customHeight="1">
      <c r="B77" t="s">
        <v>184</v>
      </c>
    </row>
    <row r="78" spans="1:33" ht="15" customHeight="1">
      <c r="B78" t="s">
        <v>145</v>
      </c>
    </row>
    <row r="79" spans="1:33" ht="15" customHeight="1"/>
    <row r="80" spans="1:33" ht="15" customHeight="1"/>
    <row r="81" spans="1:7" ht="20" customHeight="1">
      <c r="A81" s="105" t="s">
        <v>160</v>
      </c>
    </row>
    <row r="82" spans="1:7" ht="15" customHeight="1">
      <c r="A82" s="3" t="s">
        <v>52</v>
      </c>
      <c r="B82" s="3" t="s">
        <v>129</v>
      </c>
      <c r="C82" s="3" t="s">
        <v>25</v>
      </c>
      <c r="D82" s="3" t="s">
        <v>14</v>
      </c>
      <c r="E82" s="3" t="s">
        <v>15</v>
      </c>
      <c r="G82" s="50" t="s">
        <v>230</v>
      </c>
    </row>
    <row r="83" spans="1:7" ht="15" customHeight="1">
      <c r="A83">
        <v>2008</v>
      </c>
      <c r="B83" s="22">
        <v>773</v>
      </c>
      <c r="C83" s="20">
        <v>9875</v>
      </c>
      <c r="D83" s="22"/>
      <c r="E83" s="20"/>
    </row>
    <row r="84" spans="1:7" ht="15" customHeight="1">
      <c r="A84">
        <v>2009</v>
      </c>
      <c r="B84" s="22">
        <v>805</v>
      </c>
      <c r="C84" s="20">
        <v>8889</v>
      </c>
      <c r="D84" s="22"/>
      <c r="E84" s="20"/>
    </row>
    <row r="85" spans="1:7" ht="15" customHeight="1">
      <c r="A85">
        <v>2010</v>
      </c>
      <c r="B85" s="22">
        <v>851</v>
      </c>
      <c r="C85" s="20">
        <v>8457</v>
      </c>
      <c r="D85" s="22"/>
      <c r="E85" s="20"/>
    </row>
    <row r="86" spans="1:7" ht="15" customHeight="1">
      <c r="A86">
        <v>2011</v>
      </c>
      <c r="B86" s="22">
        <v>910</v>
      </c>
      <c r="C86" s="20">
        <v>9112</v>
      </c>
      <c r="D86" s="22"/>
      <c r="E86" s="20"/>
    </row>
    <row r="87" spans="1:7" ht="15" customHeight="1">
      <c r="A87">
        <v>2012</v>
      </c>
      <c r="B87" s="22">
        <v>776</v>
      </c>
      <c r="C87" s="20">
        <v>8269</v>
      </c>
      <c r="D87" s="22"/>
      <c r="E87" s="20"/>
      <c r="G87" t="s">
        <v>161</v>
      </c>
    </row>
    <row r="88" spans="1:7" ht="15" customHeight="1">
      <c r="A88">
        <v>2013</v>
      </c>
      <c r="B88" s="22">
        <v>1053</v>
      </c>
      <c r="C88" s="20">
        <v>9113</v>
      </c>
      <c r="D88" s="22"/>
      <c r="E88" s="20"/>
      <c r="G88" t="s">
        <v>162</v>
      </c>
    </row>
    <row r="89" spans="1:7" ht="15" customHeight="1">
      <c r="A89">
        <v>2014</v>
      </c>
      <c r="B89" s="22">
        <v>1122</v>
      </c>
      <c r="C89" s="20">
        <v>8179</v>
      </c>
      <c r="D89" s="22"/>
      <c r="E89" s="20"/>
    </row>
    <row r="90" spans="1:7" ht="15" customHeight="1">
      <c r="A90">
        <v>2015</v>
      </c>
      <c r="B90" s="22">
        <v>994</v>
      </c>
      <c r="C90" s="20">
        <v>7266</v>
      </c>
      <c r="D90" s="22"/>
      <c r="E90" s="20"/>
    </row>
    <row r="91" spans="1:7" ht="15" customHeight="1">
      <c r="A91">
        <v>2016</v>
      </c>
      <c r="B91" s="22">
        <v>878</v>
      </c>
      <c r="C91" s="20">
        <v>7518</v>
      </c>
      <c r="D91" s="22"/>
      <c r="E91" s="20"/>
    </row>
    <row r="92" spans="1:7" ht="15" customHeight="1">
      <c r="A92">
        <v>2017</v>
      </c>
      <c r="B92" s="22">
        <v>861</v>
      </c>
      <c r="C92" s="20">
        <v>7511</v>
      </c>
      <c r="D92" s="22"/>
      <c r="E92" s="20"/>
    </row>
    <row r="93" spans="1:7" ht="15" customHeight="1">
      <c r="A93">
        <v>2018</v>
      </c>
      <c r="B93" s="22">
        <v>1003</v>
      </c>
      <c r="C93" s="20">
        <v>8843</v>
      </c>
      <c r="D93" s="22"/>
      <c r="E93" s="20"/>
    </row>
    <row r="94" spans="1:7" ht="15" customHeight="1">
      <c r="A94">
        <v>2019</v>
      </c>
      <c r="B94" s="22">
        <v>1065</v>
      </c>
      <c r="C94" s="20">
        <v>7466</v>
      </c>
      <c r="D94" s="22"/>
      <c r="E94" s="20"/>
      <c r="G94" t="s">
        <v>185</v>
      </c>
    </row>
    <row r="95" spans="1:7" ht="15" customHeight="1">
      <c r="A95">
        <v>2020</v>
      </c>
      <c r="B95" s="22">
        <v>1041</v>
      </c>
      <c r="C95" s="20">
        <v>7568</v>
      </c>
      <c r="D95" s="22"/>
      <c r="E95" s="20"/>
      <c r="G95" t="s">
        <v>163</v>
      </c>
    </row>
    <row r="96" spans="1:7" ht="15" customHeight="1">
      <c r="A96">
        <v>2021</v>
      </c>
      <c r="B96" s="22">
        <f>C70</f>
        <v>939</v>
      </c>
      <c r="C96" s="20">
        <f>F70</f>
        <v>7612</v>
      </c>
      <c r="D96" s="22"/>
      <c r="E96" s="20"/>
      <c r="G96" t="s">
        <v>164</v>
      </c>
    </row>
    <row r="97" spans="1:8" ht="15" customHeight="1">
      <c r="A97">
        <v>2022</v>
      </c>
      <c r="B97" s="22">
        <f>L70</f>
        <v>904</v>
      </c>
      <c r="C97" s="20">
        <f>O70</f>
        <v>6700</v>
      </c>
      <c r="D97" s="22"/>
      <c r="E97" s="20"/>
      <c r="G97" t="s">
        <v>232</v>
      </c>
    </row>
    <row r="98" spans="1:8" ht="15" customHeight="1">
      <c r="A98">
        <v>2023</v>
      </c>
      <c r="B98" s="22">
        <f>U70</f>
        <v>865</v>
      </c>
      <c r="C98" s="20">
        <f>X70</f>
        <v>5590</v>
      </c>
      <c r="D98" s="22">
        <f>G46</f>
        <v>2232</v>
      </c>
      <c r="E98" s="20">
        <f>I46</f>
        <v>404</v>
      </c>
      <c r="F98" t="s">
        <v>165</v>
      </c>
      <c r="G98" t="s">
        <v>159</v>
      </c>
    </row>
    <row r="99" spans="1:8" ht="15" customHeight="1">
      <c r="A99">
        <v>2024</v>
      </c>
      <c r="B99" s="22"/>
      <c r="C99" s="22"/>
      <c r="D99" s="22"/>
      <c r="E99" s="20"/>
      <c r="G99" t="s">
        <v>186</v>
      </c>
      <c r="H99" s="1"/>
    </row>
    <row r="100" spans="1:8" ht="15" customHeight="1">
      <c r="B100" s="22"/>
      <c r="C100" s="22"/>
      <c r="D100" s="22"/>
      <c r="E100" s="22"/>
    </row>
    <row r="101" spans="1:8" ht="15" customHeight="1"/>
  </sheetData>
  <mergeCells count="13">
    <mergeCell ref="U31:AB31"/>
    <mergeCell ref="L31:S31"/>
    <mergeCell ref="C31:J31"/>
    <mergeCell ref="L32:N32"/>
    <mergeCell ref="O32:Q32"/>
    <mergeCell ref="F32:H32"/>
    <mergeCell ref="AD56:AG56"/>
    <mergeCell ref="U56:X56"/>
    <mergeCell ref="L56:O56"/>
    <mergeCell ref="C56:F56"/>
    <mergeCell ref="C32:E32"/>
    <mergeCell ref="U32:W32"/>
    <mergeCell ref="X32:Z32"/>
  </mergeCells>
  <pageMargins left="0.7" right="0.7" top="0.75" bottom="0.75" header="0.3" footer="0.3"/>
  <pageSetup orientation="portrait" horizontalDpi="4294967293" verticalDpi="4294967293" r:id="rId1"/>
  <ignoredErrors>
    <ignoredError sqref="H46 Q46" formula="1"/>
  </ignoredErrors>
</worksheet>
</file>

<file path=xl/worksheets/sheet4.xml><?xml version="1.0" encoding="utf-8"?>
<worksheet xmlns="http://schemas.openxmlformats.org/spreadsheetml/2006/main" xmlns:r="http://schemas.openxmlformats.org/officeDocument/2006/relationships">
  <dimension ref="A1:A4"/>
  <sheetViews>
    <sheetView workbookViewId="0">
      <selection activeCell="A2" sqref="A2"/>
    </sheetView>
  </sheetViews>
  <sheetFormatPr defaultRowHeight="14.5"/>
  <cols>
    <col min="1" max="1" width="10.7265625" customWidth="1"/>
    <col min="2" max="2" width="12.1796875" customWidth="1"/>
    <col min="3" max="3" width="11.36328125" customWidth="1"/>
    <col min="4" max="4" width="11.7265625" customWidth="1"/>
    <col min="5" max="6" width="10.6328125" customWidth="1"/>
    <col min="7" max="7" width="9.90625" customWidth="1"/>
    <col min="8" max="8" width="10.6328125" customWidth="1"/>
    <col min="9" max="9" width="9.6328125" customWidth="1"/>
    <col min="11" max="11" width="9.7265625" customWidth="1"/>
    <col min="12" max="12" width="9.6328125" customWidth="1"/>
    <col min="13" max="13" width="9.453125" customWidth="1"/>
    <col min="14" max="14" width="11.453125" customWidth="1"/>
    <col min="16" max="16" width="10.26953125" customWidth="1"/>
  </cols>
  <sheetData>
    <row r="1" spans="1:1" ht="25" customHeight="1">
      <c r="A1" s="73" t="s">
        <v>222</v>
      </c>
    </row>
    <row r="2" spans="1:1" ht="20" customHeight="1">
      <c r="A2" s="12"/>
    </row>
    <row r="3" spans="1:1" ht="15" customHeight="1">
      <c r="A3" t="s">
        <v>28</v>
      </c>
    </row>
    <row r="4" spans="1:1" ht="15" customHeight="1">
      <c r="A4" s="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dimension ref="A1:A4"/>
  <sheetViews>
    <sheetView workbookViewId="0">
      <selection activeCell="A2" sqref="A2"/>
    </sheetView>
  </sheetViews>
  <sheetFormatPr defaultRowHeight="14.5"/>
  <cols>
    <col min="1" max="1" width="10.7265625" customWidth="1"/>
    <col min="2" max="2" width="12.1796875" customWidth="1"/>
    <col min="3" max="3" width="11.36328125" customWidth="1"/>
    <col min="4" max="4" width="11.7265625" customWidth="1"/>
    <col min="5" max="6" width="10.6328125" customWidth="1"/>
    <col min="7" max="7" width="9.90625" customWidth="1"/>
    <col min="8" max="8" width="10.6328125" customWidth="1"/>
    <col min="9" max="9" width="9.6328125" customWidth="1"/>
    <col min="11" max="11" width="9.7265625" customWidth="1"/>
    <col min="12" max="12" width="9.6328125" customWidth="1"/>
    <col min="13" max="13" width="9.453125" customWidth="1"/>
    <col min="14" max="14" width="11.453125" customWidth="1"/>
    <col min="16" max="16" width="10.26953125" customWidth="1"/>
  </cols>
  <sheetData>
    <row r="1" spans="1:1" ht="25" customHeight="1">
      <c r="A1" s="73" t="s">
        <v>223</v>
      </c>
    </row>
    <row r="2" spans="1:1" ht="20" customHeight="1">
      <c r="A2" s="12"/>
    </row>
    <row r="3" spans="1:1" ht="15" customHeight="1">
      <c r="A3" t="s">
        <v>187</v>
      </c>
    </row>
    <row r="4" spans="1:1" ht="15" customHeight="1">
      <c r="A4" s="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dimension ref="A1:A34"/>
  <sheetViews>
    <sheetView topLeftCell="A5" workbookViewId="0">
      <selection activeCell="AG16" sqref="AG16"/>
    </sheetView>
  </sheetViews>
  <sheetFormatPr defaultRowHeight="14.5"/>
  <sheetData>
    <row r="1" spans="1:1" ht="25" customHeight="1">
      <c r="A1" s="73" t="s">
        <v>224</v>
      </c>
    </row>
    <row r="2" spans="1:1" ht="20" customHeight="1"/>
    <row r="3" spans="1:1" ht="15" customHeight="1"/>
    <row r="4" spans="1:1" ht="15" customHeight="1"/>
    <row r="5" spans="1:1" ht="15" customHeight="1"/>
    <row r="6" spans="1:1" ht="15" customHeight="1"/>
    <row r="7" spans="1:1" ht="15" customHeight="1"/>
    <row r="8" spans="1:1" ht="15" customHeight="1"/>
    <row r="9" spans="1:1" ht="15" customHeight="1"/>
    <row r="10" spans="1:1" ht="15" customHeight="1"/>
    <row r="11" spans="1:1" ht="15" customHeight="1"/>
    <row r="12" spans="1:1" ht="15" customHeight="1"/>
    <row r="13" spans="1:1" ht="15" customHeight="1"/>
    <row r="14" spans="1:1" ht="15" customHeight="1"/>
    <row r="15" spans="1:1" ht="15" customHeight="1"/>
    <row r="16" spans="1:1"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AD107"/>
  <sheetViews>
    <sheetView workbookViewId="0">
      <selection activeCell="A2" sqref="A2"/>
    </sheetView>
  </sheetViews>
  <sheetFormatPr defaultRowHeight="14.5"/>
  <cols>
    <col min="1" max="26" width="11.6328125" customWidth="1"/>
  </cols>
  <sheetData>
    <row r="1" spans="1:30" ht="25" customHeight="1">
      <c r="A1" s="73" t="s">
        <v>103</v>
      </c>
    </row>
    <row r="2" spans="1:30" ht="20" customHeight="1">
      <c r="A2" s="12"/>
    </row>
    <row r="3" spans="1:30" ht="15" customHeight="1">
      <c r="A3" s="5" t="s">
        <v>154</v>
      </c>
    </row>
    <row r="4" spans="1:30" ht="15" customHeight="1"/>
    <row r="5" spans="1:30" ht="15" customHeight="1">
      <c r="A5" s="5" t="s">
        <v>207</v>
      </c>
    </row>
    <row r="6" spans="1:30" ht="15" customHeight="1">
      <c r="A6" s="8">
        <v>18504</v>
      </c>
      <c r="B6" t="s">
        <v>115</v>
      </c>
    </row>
    <row r="7" spans="1:30" ht="15" customHeight="1">
      <c r="A7" s="8">
        <f>0.3*A6</f>
        <v>5551.2</v>
      </c>
      <c r="B7" t="s">
        <v>23</v>
      </c>
    </row>
    <row r="8" spans="1:30" ht="15" customHeight="1">
      <c r="A8" s="8">
        <f>A6-A7</f>
        <v>12952.8</v>
      </c>
      <c r="B8" t="s">
        <v>104</v>
      </c>
    </row>
    <row r="9" spans="1:30" ht="15" customHeight="1">
      <c r="A9" s="8">
        <v>200</v>
      </c>
      <c r="B9" t="s">
        <v>116</v>
      </c>
    </row>
    <row r="10" spans="1:30" ht="15" customHeight="1">
      <c r="A10" s="8">
        <f>A8+A9</f>
        <v>13152.8</v>
      </c>
      <c r="B10" t="s">
        <v>85</v>
      </c>
    </row>
    <row r="11" spans="1:30" ht="15" customHeight="1">
      <c r="A11" s="8"/>
    </row>
    <row r="12" spans="1:30" ht="20" customHeight="1">
      <c r="A12" s="48">
        <v>0</v>
      </c>
      <c r="B12" s="46" t="s">
        <v>155</v>
      </c>
      <c r="C12" s="47"/>
      <c r="D12" s="47"/>
      <c r="E12" s="47"/>
      <c r="F12" s="47"/>
      <c r="G12" s="47"/>
      <c r="H12" s="47"/>
      <c r="I12" s="47"/>
      <c r="J12" s="47"/>
      <c r="K12" s="47"/>
      <c r="L12" s="47"/>
      <c r="M12" s="47"/>
      <c r="N12" s="47"/>
      <c r="O12" s="47"/>
      <c r="P12" s="47"/>
      <c r="Q12" s="47"/>
      <c r="R12" s="47"/>
      <c r="S12" s="47"/>
    </row>
    <row r="13" spans="1:30" ht="15" customHeight="1">
      <c r="A13" s="29" t="s">
        <v>205</v>
      </c>
      <c r="B13" s="30"/>
    </row>
    <row r="14" spans="1:30" ht="15" customHeight="1">
      <c r="A14" s="22"/>
      <c r="B14" s="30"/>
      <c r="X14" s="74"/>
      <c r="Y14" s="74"/>
      <c r="Z14" s="74"/>
      <c r="AA14" s="74"/>
      <c r="AB14" s="74"/>
      <c r="AC14" s="74"/>
      <c r="AD14" s="74"/>
    </row>
    <row r="15" spans="1:30" ht="15" customHeight="1">
      <c r="A15" s="81"/>
      <c r="B15" s="97"/>
      <c r="C15" s="111" t="s">
        <v>203</v>
      </c>
      <c r="D15" s="111"/>
      <c r="E15" s="111"/>
      <c r="F15" s="111"/>
      <c r="G15" s="111"/>
      <c r="H15" s="112" t="s">
        <v>204</v>
      </c>
      <c r="I15" s="112"/>
      <c r="J15" s="82" t="s">
        <v>200</v>
      </c>
      <c r="K15" s="91"/>
      <c r="L15" s="91"/>
      <c r="M15" s="82" t="s">
        <v>202</v>
      </c>
      <c r="N15" s="82" t="s">
        <v>210</v>
      </c>
      <c r="O15" s="91"/>
      <c r="P15" s="91"/>
      <c r="Q15" s="91"/>
      <c r="R15" s="91"/>
      <c r="S15" s="91"/>
    </row>
    <row r="16" spans="1:30" ht="15" customHeight="1">
      <c r="A16" s="91"/>
      <c r="B16" s="31" t="s">
        <v>75</v>
      </c>
      <c r="C16" s="31" t="s">
        <v>196</v>
      </c>
      <c r="D16" s="31" t="s">
        <v>195</v>
      </c>
      <c r="E16" s="31" t="s">
        <v>197</v>
      </c>
      <c r="F16" s="31" t="s">
        <v>198</v>
      </c>
      <c r="G16" s="31" t="s">
        <v>61</v>
      </c>
      <c r="H16" s="31" t="s">
        <v>196</v>
      </c>
      <c r="I16" s="31" t="s">
        <v>197</v>
      </c>
      <c r="J16" s="31" t="s">
        <v>208</v>
      </c>
      <c r="K16" s="31" t="s">
        <v>201</v>
      </c>
      <c r="L16" s="31" t="s">
        <v>78</v>
      </c>
      <c r="M16" s="31" t="s">
        <v>209</v>
      </c>
      <c r="N16" s="31" t="s">
        <v>87</v>
      </c>
      <c r="O16" s="31" t="s">
        <v>76</v>
      </c>
      <c r="P16" s="31" t="s">
        <v>77</v>
      </c>
      <c r="Q16" s="31" t="s">
        <v>83</v>
      </c>
      <c r="R16" s="31" t="s">
        <v>84</v>
      </c>
      <c r="S16" s="40"/>
    </row>
    <row r="17" spans="1:20" ht="15" customHeight="1">
      <c r="A17" s="81">
        <f>A12</f>
        <v>0</v>
      </c>
      <c r="B17" s="82" t="str">
        <f>VLOOKUP(A12,A19:Y26,2)</f>
        <v>Actual</v>
      </c>
      <c r="C17" s="83">
        <f>VLOOKUP(A12,A19:Y26,3)</f>
        <v>18504</v>
      </c>
      <c r="D17" s="84">
        <f>VLOOKUP(A12,A19:Y26,4)</f>
        <v>0.3</v>
      </c>
      <c r="E17" s="83">
        <f>C17*(1-D17)</f>
        <v>12952.8</v>
      </c>
      <c r="F17" s="83">
        <f>VLOOKUP(A12,A19:Y26,6)</f>
        <v>200</v>
      </c>
      <c r="G17" s="83">
        <f>E17+F17</f>
        <v>13152.8</v>
      </c>
      <c r="H17" s="85">
        <f>(C17+F17)/(1000*K17)</f>
        <v>2.597777777777778</v>
      </c>
      <c r="I17" s="85">
        <f>G17/(1000*K17)</f>
        <v>1.8267777777777776</v>
      </c>
      <c r="J17" s="85">
        <f>G17/L17</f>
        <v>1.4861920903954802</v>
      </c>
      <c r="K17" s="86">
        <f>VLOOKUP(A12,A19:Y26,11)</f>
        <v>7.2</v>
      </c>
      <c r="L17" s="87">
        <f>VLOOKUP(A12,A19:Y26,12)</f>
        <v>8850</v>
      </c>
      <c r="M17" s="98">
        <f>L17/(24*365*K17)</f>
        <v>0.1403158295281583</v>
      </c>
      <c r="N17" s="88">
        <f>VLOOKUP(A12,A19:Y26,14)</f>
        <v>5.0000000000000001E-3</v>
      </c>
      <c r="O17" s="87">
        <f>VLOOKUP(A12,A19:Y26,15)</f>
        <v>6117</v>
      </c>
      <c r="P17" s="89">
        <f>VLOOKUP(A12,A19:Y26,16)</f>
        <v>14.2</v>
      </c>
      <c r="Q17" s="88">
        <f>VLOOKUP(A12,A19:Y26,17)</f>
        <v>2.5000000000000001E-2</v>
      </c>
      <c r="R17" s="88">
        <f>VLOOKUP(A12,A19:Y26,18)</f>
        <v>7.4999999999999997E-2</v>
      </c>
      <c r="S17" s="90" t="str">
        <f>VLOOKUP(A12,A19:Y26,19)</f>
        <v xml:space="preserve">   Actual numbers over the years - currently using 9/1/2023-9/1/2024 - see note #1</v>
      </c>
      <c r="T17" s="91"/>
    </row>
    <row r="18" spans="1:20" ht="15" customHeight="1">
      <c r="A18" s="29"/>
      <c r="B18" s="4"/>
      <c r="C18" s="32"/>
      <c r="D18" s="79"/>
      <c r="E18" s="32"/>
      <c r="F18" s="32"/>
      <c r="G18" s="32"/>
      <c r="H18" s="76"/>
      <c r="I18" s="76"/>
      <c r="J18" s="76"/>
      <c r="K18" s="75"/>
      <c r="L18" s="34"/>
      <c r="M18" s="99"/>
      <c r="N18" s="33"/>
      <c r="O18" s="34"/>
      <c r="P18" s="35"/>
      <c r="Q18" s="33"/>
      <c r="R18" s="33"/>
      <c r="S18" s="5"/>
    </row>
    <row r="19" spans="1:20" ht="15" customHeight="1">
      <c r="A19" s="92">
        <v>0</v>
      </c>
      <c r="B19" s="57" t="s">
        <v>81</v>
      </c>
      <c r="C19" s="79">
        <v>18504</v>
      </c>
      <c r="D19" s="78">
        <v>0.3</v>
      </c>
      <c r="E19" s="79">
        <f>C19*(1-D19)</f>
        <v>12952.8</v>
      </c>
      <c r="F19" s="79">
        <v>200</v>
      </c>
      <c r="G19" s="79">
        <f>E19+F19</f>
        <v>13152.8</v>
      </c>
      <c r="H19" s="93">
        <f>(C19+F19)/(1000*K19)</f>
        <v>2.597777777777778</v>
      </c>
      <c r="I19" s="93">
        <f>G19/(1000*K19)</f>
        <v>1.8267777777777776</v>
      </c>
      <c r="J19" s="93">
        <f>G19/L19</f>
        <v>1.4861920903954802</v>
      </c>
      <c r="K19" s="80">
        <v>7.2</v>
      </c>
      <c r="L19" s="94">
        <v>8850</v>
      </c>
      <c r="M19" s="100">
        <f>L19/(365*24*K19)</f>
        <v>0.1403158295281583</v>
      </c>
      <c r="N19" s="95">
        <v>5.0000000000000001E-3</v>
      </c>
      <c r="O19" s="94">
        <v>6117</v>
      </c>
      <c r="P19" s="96">
        <v>14.2</v>
      </c>
      <c r="Q19" s="95">
        <v>2.5000000000000001E-2</v>
      </c>
      <c r="R19" s="95">
        <v>7.4999999999999997E-2</v>
      </c>
      <c r="S19" s="5" t="s">
        <v>152</v>
      </c>
    </row>
    <row r="20" spans="1:20" ht="15" customHeight="1">
      <c r="A20" s="22">
        <v>1</v>
      </c>
      <c r="B20" s="1" t="s">
        <v>199</v>
      </c>
      <c r="C20" s="18">
        <v>18504</v>
      </c>
      <c r="D20" s="78">
        <v>0.3</v>
      </c>
      <c r="E20" s="18">
        <f t="shared" ref="E20:E26" si="0">C20*(1-D20)</f>
        <v>12952.8</v>
      </c>
      <c r="F20" s="18">
        <v>200</v>
      </c>
      <c r="G20" s="18">
        <f t="shared" ref="G20:G26" si="1">E20+F20</f>
        <v>13152.8</v>
      </c>
      <c r="H20" s="77">
        <f t="shared" ref="H20:H25" si="2">(C20+F20)/(1000*K20)</f>
        <v>2.597777777777778</v>
      </c>
      <c r="I20" s="77">
        <f t="shared" ref="I20:I25" si="3">G20/(1000*K20)</f>
        <v>1.8267777777777776</v>
      </c>
      <c r="J20" s="77">
        <f t="shared" ref="J20:J25" si="4">G20/L20</f>
        <v>1.4614222222222222</v>
      </c>
      <c r="K20" s="80">
        <v>7.2</v>
      </c>
      <c r="L20" s="20">
        <v>9000</v>
      </c>
      <c r="M20" s="101">
        <f>L20/(365*24*K20)</f>
        <v>0.14269406392694065</v>
      </c>
      <c r="N20" s="28">
        <v>5.0000000000000001E-3</v>
      </c>
      <c r="O20" s="20">
        <v>7500</v>
      </c>
      <c r="P20" s="19">
        <v>13.5</v>
      </c>
      <c r="Q20" s="28">
        <v>2.5000000000000001E-2</v>
      </c>
      <c r="R20" s="28">
        <v>7.4999999999999997E-2</v>
      </c>
      <c r="S20" t="s">
        <v>148</v>
      </c>
    </row>
    <row r="21" spans="1:20" ht="15" customHeight="1">
      <c r="A21" s="22">
        <v>2</v>
      </c>
      <c r="B21" s="27" t="s">
        <v>79</v>
      </c>
      <c r="C21" s="18">
        <v>18504</v>
      </c>
      <c r="D21" s="78">
        <v>0.3</v>
      </c>
      <c r="E21" s="18">
        <f t="shared" si="0"/>
        <v>12952.8</v>
      </c>
      <c r="F21" s="18">
        <v>200</v>
      </c>
      <c r="G21" s="18">
        <f t="shared" si="1"/>
        <v>13152.8</v>
      </c>
      <c r="H21" s="77">
        <f t="shared" si="2"/>
        <v>2.597777777777778</v>
      </c>
      <c r="I21" s="77">
        <f t="shared" si="3"/>
        <v>1.8267777777777776</v>
      </c>
      <c r="J21" s="77">
        <f t="shared" si="4"/>
        <v>1.4614222222222222</v>
      </c>
      <c r="K21" s="80">
        <v>7.2</v>
      </c>
      <c r="L21" s="20">
        <v>9000</v>
      </c>
      <c r="M21" s="101">
        <f>L21/(365*24*K21)</f>
        <v>0.14269406392694065</v>
      </c>
      <c r="N21" s="28">
        <v>5.0000000000000001E-3</v>
      </c>
      <c r="O21" s="20">
        <v>9000</v>
      </c>
      <c r="P21" s="19">
        <v>13.5</v>
      </c>
      <c r="Q21" s="28">
        <v>2.5000000000000001E-2</v>
      </c>
      <c r="R21" s="28">
        <v>7.4999999999999997E-2</v>
      </c>
      <c r="S21" t="s">
        <v>86</v>
      </c>
    </row>
    <row r="22" spans="1:20" ht="15" customHeight="1">
      <c r="A22" s="22">
        <v>3</v>
      </c>
      <c r="B22" s="27" t="s">
        <v>80</v>
      </c>
      <c r="C22" s="18">
        <v>15420</v>
      </c>
      <c r="D22" s="78">
        <v>0.3</v>
      </c>
      <c r="E22" s="18">
        <f t="shared" si="0"/>
        <v>10794</v>
      </c>
      <c r="F22" s="18">
        <v>200</v>
      </c>
      <c r="G22" s="18">
        <f t="shared" si="1"/>
        <v>10994</v>
      </c>
      <c r="H22" s="77">
        <f t="shared" si="2"/>
        <v>2.6033333333333335</v>
      </c>
      <c r="I22" s="77">
        <f t="shared" si="3"/>
        <v>1.8323333333333334</v>
      </c>
      <c r="J22" s="77">
        <f t="shared" si="4"/>
        <v>1.4658666666666667</v>
      </c>
      <c r="K22" s="80">
        <v>6</v>
      </c>
      <c r="L22" s="20">
        <v>7500</v>
      </c>
      <c r="M22" s="101">
        <f t="shared" ref="M22:M25" si="5">L22/(365*24*K22)</f>
        <v>0.14269406392694065</v>
      </c>
      <c r="N22" s="28">
        <v>5.0000000000000001E-3</v>
      </c>
      <c r="O22" s="20">
        <v>7500</v>
      </c>
      <c r="P22" s="19">
        <v>13.5</v>
      </c>
      <c r="Q22" s="28">
        <v>2.5000000000000001E-2</v>
      </c>
      <c r="R22" s="28">
        <v>7.4999999999999997E-2</v>
      </c>
      <c r="S22" t="s">
        <v>149</v>
      </c>
    </row>
    <row r="23" spans="1:20" ht="15" customHeight="1">
      <c r="A23" s="22">
        <v>4</v>
      </c>
      <c r="B23" s="27" t="s">
        <v>88</v>
      </c>
      <c r="C23" s="18">
        <v>50000</v>
      </c>
      <c r="D23" s="78">
        <v>0.3</v>
      </c>
      <c r="E23" s="18">
        <f t="shared" si="0"/>
        <v>35000</v>
      </c>
      <c r="F23" s="18">
        <v>0</v>
      </c>
      <c r="G23" s="18">
        <f t="shared" si="1"/>
        <v>35000</v>
      </c>
      <c r="H23" s="77">
        <f t="shared" si="2"/>
        <v>3.6764705882352939</v>
      </c>
      <c r="I23" s="77">
        <f t="shared" si="3"/>
        <v>2.5735294117647061</v>
      </c>
      <c r="J23" s="77">
        <f t="shared" si="4"/>
        <v>2.0588235294117645</v>
      </c>
      <c r="K23" s="80">
        <v>13.6</v>
      </c>
      <c r="L23" s="20">
        <v>17000</v>
      </c>
      <c r="M23" s="101">
        <f t="shared" si="5"/>
        <v>0.14269406392694065</v>
      </c>
      <c r="N23" s="28">
        <v>5.0000000000000001E-3</v>
      </c>
      <c r="O23" s="20">
        <v>17000</v>
      </c>
      <c r="P23" s="19">
        <v>13.5</v>
      </c>
      <c r="Q23" s="28">
        <v>2.5000000000000001E-2</v>
      </c>
      <c r="R23" s="28">
        <v>7.4999999999999997E-2</v>
      </c>
      <c r="S23" t="s">
        <v>150</v>
      </c>
    </row>
    <row r="24" spans="1:20" ht="15" customHeight="1">
      <c r="A24" s="22">
        <v>5</v>
      </c>
      <c r="B24" s="27" t="s">
        <v>88</v>
      </c>
      <c r="C24" s="18">
        <v>120000</v>
      </c>
      <c r="D24" s="78">
        <v>0.3</v>
      </c>
      <c r="E24" s="18">
        <f t="shared" si="0"/>
        <v>84000</v>
      </c>
      <c r="F24" s="18">
        <v>0</v>
      </c>
      <c r="G24" s="18">
        <f t="shared" si="1"/>
        <v>84000</v>
      </c>
      <c r="H24" s="77">
        <f t="shared" si="2"/>
        <v>4</v>
      </c>
      <c r="I24" s="77">
        <f t="shared" si="3"/>
        <v>2.8</v>
      </c>
      <c r="J24" s="77">
        <f t="shared" si="4"/>
        <v>2.3333333333333335</v>
      </c>
      <c r="K24" s="80">
        <v>30</v>
      </c>
      <c r="L24" s="20">
        <v>36000</v>
      </c>
      <c r="M24" s="101">
        <f t="shared" si="5"/>
        <v>0.13698630136986301</v>
      </c>
      <c r="N24" s="28">
        <v>5.0000000000000001E-3</v>
      </c>
      <c r="O24" s="20">
        <v>45000</v>
      </c>
      <c r="P24" s="19">
        <v>13.5</v>
      </c>
      <c r="Q24" s="28">
        <v>2.5000000000000001E-2</v>
      </c>
      <c r="R24" s="28">
        <v>7.4999999999999997E-2</v>
      </c>
      <c r="S24" t="s">
        <v>151</v>
      </c>
    </row>
    <row r="25" spans="1:20" ht="15" customHeight="1">
      <c r="A25" s="22">
        <v>6</v>
      </c>
      <c r="B25" s="27" t="s">
        <v>92</v>
      </c>
      <c r="C25" s="18">
        <v>20113</v>
      </c>
      <c r="D25" s="78">
        <v>0.26</v>
      </c>
      <c r="E25" s="18">
        <f t="shared" si="0"/>
        <v>14883.619999999999</v>
      </c>
      <c r="F25" s="18">
        <v>0</v>
      </c>
      <c r="G25" s="18">
        <f t="shared" si="1"/>
        <v>14883.619999999999</v>
      </c>
      <c r="H25" s="77">
        <f t="shared" si="2"/>
        <v>3.0199699699699698</v>
      </c>
      <c r="I25" s="77">
        <f t="shared" si="3"/>
        <v>2.2347777777777775</v>
      </c>
      <c r="J25" s="77">
        <f t="shared" si="4"/>
        <v>2.7229454811562386</v>
      </c>
      <c r="K25" s="80">
        <v>6.66</v>
      </c>
      <c r="L25" s="20">
        <v>5466</v>
      </c>
      <c r="M25" s="101">
        <f t="shared" si="5"/>
        <v>9.3689579990949859E-2</v>
      </c>
      <c r="N25" s="28">
        <v>5.0000000000000001E-3</v>
      </c>
      <c r="O25" s="20">
        <v>5466</v>
      </c>
      <c r="P25" s="19">
        <v>20</v>
      </c>
      <c r="Q25" s="28">
        <v>0.03</v>
      </c>
      <c r="R25" s="28">
        <v>0.03</v>
      </c>
      <c r="S25" t="s">
        <v>105</v>
      </c>
    </row>
    <row r="26" spans="1:20" ht="15" customHeight="1">
      <c r="A26" s="22">
        <v>7</v>
      </c>
      <c r="B26" s="27" t="s">
        <v>82</v>
      </c>
      <c r="C26" s="18"/>
      <c r="D26" s="79"/>
      <c r="E26" s="18">
        <f t="shared" si="0"/>
        <v>0</v>
      </c>
      <c r="F26" s="18"/>
      <c r="G26" s="18">
        <f t="shared" si="1"/>
        <v>0</v>
      </c>
      <c r="H26" s="77">
        <f>IF(K26=0,0,(C26+F26)/(1000*K26))</f>
        <v>0</v>
      </c>
      <c r="I26" s="77">
        <f>IF(K26=0,0,G26/(1000*K26))</f>
        <v>0</v>
      </c>
      <c r="J26" s="77">
        <f>IF(L26=0,0,G26/L26)</f>
        <v>0</v>
      </c>
      <c r="K26" s="80"/>
      <c r="L26" s="20"/>
      <c r="M26" s="101">
        <f>IF(K26=0,0,L26/(365*24*K26))</f>
        <v>0</v>
      </c>
      <c r="N26" s="28"/>
      <c r="O26" s="20"/>
      <c r="P26" s="19"/>
      <c r="Q26" s="28"/>
      <c r="R26" s="28"/>
      <c r="S26" s="5" t="s">
        <v>117</v>
      </c>
    </row>
    <row r="27" spans="1:20" ht="15" customHeight="1">
      <c r="A27" s="22"/>
      <c r="B27" s="27"/>
      <c r="C27" s="18"/>
      <c r="D27" s="18"/>
      <c r="E27" s="18"/>
      <c r="F27" s="18"/>
      <c r="G27" s="18"/>
      <c r="H27" s="20"/>
      <c r="I27" s="28"/>
      <c r="J27" s="20"/>
      <c r="K27" s="19"/>
      <c r="L27" s="28"/>
      <c r="M27" s="28"/>
      <c r="N27" s="28"/>
      <c r="O27" s="5"/>
    </row>
    <row r="28" spans="1:20" ht="15" customHeight="1">
      <c r="B28" s="2"/>
      <c r="C28" s="2"/>
      <c r="D28" s="2"/>
      <c r="E28" s="2"/>
      <c r="F28" s="2"/>
      <c r="G28" s="2"/>
      <c r="H28" s="2"/>
    </row>
    <row r="29" spans="1:20" ht="20" customHeight="1">
      <c r="A29" s="36" t="s">
        <v>211</v>
      </c>
    </row>
    <row r="30" spans="1:20" ht="15" customHeight="1">
      <c r="A30" s="44">
        <f>G17</f>
        <v>13152.8</v>
      </c>
      <c r="B30" t="s">
        <v>233</v>
      </c>
    </row>
    <row r="31" spans="1:20" ht="15" customHeight="1">
      <c r="A31" s="38">
        <f>L17</f>
        <v>8850</v>
      </c>
      <c r="B31" t="s">
        <v>96</v>
      </c>
    </row>
    <row r="32" spans="1:20" ht="15" customHeight="1">
      <c r="A32" s="45">
        <f>N17</f>
        <v>5.0000000000000001E-3</v>
      </c>
      <c r="B32" t="s">
        <v>156</v>
      </c>
    </row>
    <row r="33" spans="1:14" ht="15" customHeight="1">
      <c r="A33" s="29">
        <f>O17</f>
        <v>6117</v>
      </c>
      <c r="B33" t="s">
        <v>234</v>
      </c>
    </row>
    <row r="34" spans="1:14" ht="15" customHeight="1">
      <c r="A34" s="37">
        <f>P17</f>
        <v>14.2</v>
      </c>
      <c r="B34" t="s">
        <v>153</v>
      </c>
    </row>
    <row r="35" spans="1:14" ht="15" customHeight="1">
      <c r="A35" s="45">
        <f>Q17</f>
        <v>2.5000000000000001E-2</v>
      </c>
      <c r="B35" t="s">
        <v>44</v>
      </c>
    </row>
    <row r="36" spans="1:14" ht="15" customHeight="1">
      <c r="A36" s="5"/>
      <c r="C36" t="s">
        <v>45</v>
      </c>
    </row>
    <row r="37" spans="1:14" ht="15" customHeight="1">
      <c r="A37" s="45">
        <f>R17</f>
        <v>7.4999999999999997E-2</v>
      </c>
      <c r="B37" t="s">
        <v>46</v>
      </c>
    </row>
    <row r="38" spans="1:14" ht="15" customHeight="1"/>
    <row r="39" spans="1:14" ht="15" customHeight="1">
      <c r="A39" s="5" t="s">
        <v>102</v>
      </c>
      <c r="K39" s="110" t="s">
        <v>101</v>
      </c>
      <c r="L39" s="110"/>
      <c r="M39" s="10" t="s">
        <v>13</v>
      </c>
    </row>
    <row r="40" spans="1:14" ht="15" customHeight="1">
      <c r="A40" s="3" t="s">
        <v>52</v>
      </c>
      <c r="B40" s="3" t="s">
        <v>53</v>
      </c>
      <c r="C40" s="3" t="s">
        <v>54</v>
      </c>
      <c r="D40" s="3" t="s">
        <v>55</v>
      </c>
      <c r="E40" s="3" t="s">
        <v>56</v>
      </c>
      <c r="F40" s="3" t="s">
        <v>57</v>
      </c>
      <c r="G40" s="3" t="s">
        <v>58</v>
      </c>
      <c r="H40" s="3" t="s">
        <v>59</v>
      </c>
      <c r="I40" s="3" t="s">
        <v>60</v>
      </c>
      <c r="J40" s="3"/>
      <c r="K40" s="3" t="s">
        <v>52</v>
      </c>
      <c r="L40" s="3" t="s">
        <v>61</v>
      </c>
      <c r="M40" s="3" t="s">
        <v>93</v>
      </c>
      <c r="N40" s="3" t="s">
        <v>52</v>
      </c>
    </row>
    <row r="41" spans="1:14" ht="15" customHeight="1">
      <c r="A41" s="17">
        <v>1</v>
      </c>
      <c r="B41" s="18">
        <f>$A$30</f>
        <v>13152.8</v>
      </c>
      <c r="C41" s="19">
        <f>$A$34</f>
        <v>14.2</v>
      </c>
      <c r="D41" s="20">
        <f>$A$31</f>
        <v>8850</v>
      </c>
      <c r="E41" s="18">
        <f t="shared" ref="E41:E65" si="6">C41*D41/100</f>
        <v>1256.7</v>
      </c>
      <c r="F41" s="20">
        <f>$A$33</f>
        <v>6117</v>
      </c>
      <c r="G41" s="18">
        <f t="shared" ref="G41:G65" si="7">MIN(D41,F41)*C41/100</f>
        <v>868.61399999999992</v>
      </c>
      <c r="H41" s="2">
        <f>B41*$A$37</f>
        <v>986.45999999999992</v>
      </c>
      <c r="I41" s="2">
        <f t="shared" ref="I41:I65" si="8">B41-G41+H41</f>
        <v>13270.645999999999</v>
      </c>
      <c r="J41" s="2"/>
      <c r="K41" s="2">
        <f t="shared" ref="K41:K65" si="9">E41-G41</f>
        <v>388.08600000000013</v>
      </c>
      <c r="L41" s="2">
        <f>K41</f>
        <v>388.08600000000013</v>
      </c>
      <c r="M41" s="2">
        <f t="shared" ref="M41:M65" si="10">I41-L41</f>
        <v>12882.56</v>
      </c>
      <c r="N41">
        <f t="shared" ref="N41:N65" si="11">A41</f>
        <v>1</v>
      </c>
    </row>
    <row r="42" spans="1:14" ht="15" customHeight="1">
      <c r="A42" s="17">
        <v>2</v>
      </c>
      <c r="B42" s="18">
        <f t="shared" ref="B42:B65" si="12">I41</f>
        <v>13270.645999999999</v>
      </c>
      <c r="C42" s="19">
        <f>C41*(1+$A$35)</f>
        <v>14.554999999999998</v>
      </c>
      <c r="D42" s="20">
        <f>D41*(1-$A$32)</f>
        <v>8805.75</v>
      </c>
      <c r="E42" s="18">
        <f t="shared" si="6"/>
        <v>1281.6769124999998</v>
      </c>
      <c r="F42" s="20">
        <f t="shared" ref="F42:F65" si="13">$A$33</f>
        <v>6117</v>
      </c>
      <c r="G42" s="18">
        <f t="shared" si="7"/>
        <v>890.32934999999986</v>
      </c>
      <c r="H42" s="2">
        <f t="shared" ref="H42:H65" si="14">B42*$A$37</f>
        <v>995.29844999999989</v>
      </c>
      <c r="I42" s="2">
        <f t="shared" si="8"/>
        <v>13375.615099999999</v>
      </c>
      <c r="J42" s="2"/>
      <c r="K42" s="2">
        <f t="shared" si="9"/>
        <v>391.34756249999998</v>
      </c>
      <c r="L42" s="2">
        <f>L41+K42</f>
        <v>779.43356250000011</v>
      </c>
      <c r="M42" s="2">
        <f t="shared" si="10"/>
        <v>12596.181537499999</v>
      </c>
      <c r="N42">
        <f t="shared" si="11"/>
        <v>2</v>
      </c>
    </row>
    <row r="43" spans="1:14" ht="15" customHeight="1">
      <c r="A43" s="17">
        <v>3</v>
      </c>
      <c r="B43" s="18">
        <f t="shared" si="12"/>
        <v>13375.615099999999</v>
      </c>
      <c r="C43" s="19">
        <f t="shared" ref="C43:C65" si="15">C42*(1+$A$35)</f>
        <v>14.918874999999996</v>
      </c>
      <c r="D43" s="20">
        <f t="shared" ref="D43:D65" si="16">D42*(1-$A$32)</f>
        <v>8761.7212500000005</v>
      </c>
      <c r="E43" s="18">
        <f t="shared" si="6"/>
        <v>1307.1502411359372</v>
      </c>
      <c r="F43" s="20">
        <f t="shared" si="13"/>
        <v>6117</v>
      </c>
      <c r="G43" s="18">
        <f t="shared" si="7"/>
        <v>912.58758374999979</v>
      </c>
      <c r="H43" s="2">
        <f t="shared" si="14"/>
        <v>1003.1711324999999</v>
      </c>
      <c r="I43" s="2">
        <f t="shared" si="8"/>
        <v>13466.19864875</v>
      </c>
      <c r="J43" s="2"/>
      <c r="K43" s="2">
        <f t="shared" si="9"/>
        <v>394.56265738593743</v>
      </c>
      <c r="L43" s="2">
        <f t="shared" ref="L43:L65" si="17">L42+K43</f>
        <v>1173.9962198859375</v>
      </c>
      <c r="M43" s="2">
        <f t="shared" si="10"/>
        <v>12292.202428864062</v>
      </c>
      <c r="N43">
        <f t="shared" si="11"/>
        <v>3</v>
      </c>
    </row>
    <row r="44" spans="1:14" ht="15" customHeight="1">
      <c r="A44" s="17">
        <v>4</v>
      </c>
      <c r="B44" s="18">
        <f t="shared" si="12"/>
        <v>13466.19864875</v>
      </c>
      <c r="C44" s="19">
        <f t="shared" si="15"/>
        <v>15.291846874999996</v>
      </c>
      <c r="D44" s="20">
        <f t="shared" si="16"/>
        <v>8717.9126437499999</v>
      </c>
      <c r="E44" s="18">
        <f t="shared" si="6"/>
        <v>1333.1298521785138</v>
      </c>
      <c r="F44" s="20">
        <f t="shared" si="13"/>
        <v>6117</v>
      </c>
      <c r="G44" s="18">
        <f t="shared" si="7"/>
        <v>935.4022733437497</v>
      </c>
      <c r="H44" s="2">
        <f t="shared" si="14"/>
        <v>1009.9648986562499</v>
      </c>
      <c r="I44" s="2">
        <f t="shared" si="8"/>
        <v>13540.761274062499</v>
      </c>
      <c r="J44" s="2"/>
      <c r="K44" s="2">
        <f t="shared" si="9"/>
        <v>397.72757883476413</v>
      </c>
      <c r="L44" s="2">
        <f t="shared" si="17"/>
        <v>1571.7237987207018</v>
      </c>
      <c r="M44" s="2">
        <f t="shared" si="10"/>
        <v>11969.037475341796</v>
      </c>
      <c r="N44">
        <f t="shared" si="11"/>
        <v>4</v>
      </c>
    </row>
    <row r="45" spans="1:14" ht="15" customHeight="1">
      <c r="A45" s="17">
        <v>5</v>
      </c>
      <c r="B45" s="18">
        <f t="shared" si="12"/>
        <v>13540.761274062499</v>
      </c>
      <c r="C45" s="19">
        <f t="shared" si="15"/>
        <v>15.674143046874994</v>
      </c>
      <c r="D45" s="20">
        <f t="shared" si="16"/>
        <v>8674.3230805312505</v>
      </c>
      <c r="E45" s="18">
        <f t="shared" si="6"/>
        <v>1359.625807990562</v>
      </c>
      <c r="F45" s="20">
        <f t="shared" si="13"/>
        <v>6117</v>
      </c>
      <c r="G45" s="18">
        <f t="shared" si="7"/>
        <v>958.78733017734339</v>
      </c>
      <c r="H45" s="2">
        <f t="shared" si="14"/>
        <v>1015.5570955546874</v>
      </c>
      <c r="I45" s="2">
        <f t="shared" si="8"/>
        <v>13597.531039439844</v>
      </c>
      <c r="J45" s="2"/>
      <c r="K45" s="2">
        <f t="shared" si="9"/>
        <v>400.83847781321856</v>
      </c>
      <c r="L45" s="2">
        <f t="shared" si="17"/>
        <v>1972.5622765339203</v>
      </c>
      <c r="M45" s="2">
        <f t="shared" si="10"/>
        <v>11624.968762905923</v>
      </c>
      <c r="N45">
        <f t="shared" si="11"/>
        <v>5</v>
      </c>
    </row>
    <row r="46" spans="1:14" ht="15" customHeight="1">
      <c r="A46" s="17">
        <v>6</v>
      </c>
      <c r="B46" s="2">
        <f t="shared" si="12"/>
        <v>13597.531039439844</v>
      </c>
      <c r="C46" s="21">
        <f t="shared" si="15"/>
        <v>16.065996623046868</v>
      </c>
      <c r="D46" s="20">
        <f t="shared" si="16"/>
        <v>8630.9514651285936</v>
      </c>
      <c r="E46" s="2">
        <f t="shared" si="6"/>
        <v>1386.6483709243739</v>
      </c>
      <c r="F46" s="22">
        <f t="shared" si="13"/>
        <v>6117</v>
      </c>
      <c r="G46" s="18">
        <f t="shared" si="7"/>
        <v>982.75701343177684</v>
      </c>
      <c r="H46" s="2">
        <f t="shared" si="14"/>
        <v>1019.8148279579882</v>
      </c>
      <c r="I46" s="2">
        <f t="shared" si="8"/>
        <v>13634.588853966055</v>
      </c>
      <c r="J46" s="2"/>
      <c r="K46" s="2">
        <f t="shared" si="9"/>
        <v>403.89135749259708</v>
      </c>
      <c r="L46" s="2">
        <f t="shared" si="17"/>
        <v>2376.4536340265176</v>
      </c>
      <c r="M46" s="2">
        <f t="shared" si="10"/>
        <v>11258.135219939537</v>
      </c>
      <c r="N46">
        <f t="shared" si="11"/>
        <v>6</v>
      </c>
    </row>
    <row r="47" spans="1:14" ht="15" customHeight="1">
      <c r="A47" s="17">
        <v>7</v>
      </c>
      <c r="B47" s="2">
        <f t="shared" si="12"/>
        <v>13634.588853966055</v>
      </c>
      <c r="C47" s="21">
        <f t="shared" si="15"/>
        <v>16.467646538623036</v>
      </c>
      <c r="D47" s="20">
        <f t="shared" si="16"/>
        <v>8587.7967078029506</v>
      </c>
      <c r="E47" s="2">
        <f t="shared" si="6"/>
        <v>1414.2080072964957</v>
      </c>
      <c r="F47" s="22">
        <f t="shared" si="13"/>
        <v>6117</v>
      </c>
      <c r="G47" s="18">
        <f t="shared" si="7"/>
        <v>1007.3259387675711</v>
      </c>
      <c r="H47" s="2">
        <f t="shared" si="14"/>
        <v>1022.5941640474541</v>
      </c>
      <c r="I47" s="2">
        <f t="shared" si="8"/>
        <v>13649.857079245938</v>
      </c>
      <c r="J47" s="2"/>
      <c r="K47" s="2">
        <f t="shared" si="9"/>
        <v>406.88206852892461</v>
      </c>
      <c r="L47" s="2">
        <f t="shared" si="17"/>
        <v>2783.3357025554424</v>
      </c>
      <c r="M47" s="2">
        <f t="shared" si="10"/>
        <v>10866.521376690496</v>
      </c>
      <c r="N47">
        <f t="shared" si="11"/>
        <v>7</v>
      </c>
    </row>
    <row r="48" spans="1:14" ht="15" customHeight="1">
      <c r="A48" s="17">
        <v>8</v>
      </c>
      <c r="B48" s="2">
        <f t="shared" si="12"/>
        <v>13649.857079245938</v>
      </c>
      <c r="C48" s="21">
        <f t="shared" si="15"/>
        <v>16.879337702088609</v>
      </c>
      <c r="D48" s="20">
        <f t="shared" si="16"/>
        <v>8544.8577242639349</v>
      </c>
      <c r="E48" s="2">
        <f t="shared" si="6"/>
        <v>1442.3153914415132</v>
      </c>
      <c r="F48" s="22">
        <f t="shared" si="13"/>
        <v>6117</v>
      </c>
      <c r="G48" s="18">
        <f t="shared" si="7"/>
        <v>1032.5090872367603</v>
      </c>
      <c r="H48" s="2">
        <f t="shared" si="14"/>
        <v>1023.7392809434452</v>
      </c>
      <c r="I48" s="2">
        <f t="shared" si="8"/>
        <v>13641.087272952624</v>
      </c>
      <c r="J48" s="2"/>
      <c r="K48" s="2">
        <f t="shared" si="9"/>
        <v>409.80630420475291</v>
      </c>
      <c r="L48" s="2">
        <f t="shared" si="17"/>
        <v>3193.1420067601953</v>
      </c>
      <c r="M48" s="2">
        <f t="shared" si="10"/>
        <v>10447.945266192428</v>
      </c>
      <c r="N48">
        <f t="shared" si="11"/>
        <v>8</v>
      </c>
    </row>
    <row r="49" spans="1:14" ht="15" customHeight="1">
      <c r="A49" s="17">
        <v>9</v>
      </c>
      <c r="B49" s="2">
        <f t="shared" si="12"/>
        <v>13641.087272952624</v>
      </c>
      <c r="C49" s="21">
        <f t="shared" si="15"/>
        <v>17.301321144640823</v>
      </c>
      <c r="D49" s="20">
        <f t="shared" si="16"/>
        <v>8502.133435642616</v>
      </c>
      <c r="E49" s="2">
        <f t="shared" si="6"/>
        <v>1470.9814098464133</v>
      </c>
      <c r="F49" s="22">
        <f t="shared" si="13"/>
        <v>6117</v>
      </c>
      <c r="G49" s="18">
        <f t="shared" si="7"/>
        <v>1058.3218144176792</v>
      </c>
      <c r="H49" s="2">
        <f t="shared" si="14"/>
        <v>1023.0815454714467</v>
      </c>
      <c r="I49" s="2">
        <f t="shared" si="8"/>
        <v>13605.847004006391</v>
      </c>
      <c r="J49" s="2"/>
      <c r="K49" s="2">
        <f t="shared" si="9"/>
        <v>412.65959542873406</v>
      </c>
      <c r="L49" s="2">
        <f t="shared" si="17"/>
        <v>3605.8016021889293</v>
      </c>
      <c r="M49" s="2">
        <f t="shared" si="10"/>
        <v>10000.045401817462</v>
      </c>
      <c r="N49">
        <f t="shared" si="11"/>
        <v>9</v>
      </c>
    </row>
    <row r="50" spans="1:14" ht="15" customHeight="1">
      <c r="A50" s="17">
        <v>10</v>
      </c>
      <c r="B50" s="2">
        <f t="shared" si="12"/>
        <v>13605.847004006391</v>
      </c>
      <c r="C50" s="21">
        <f t="shared" si="15"/>
        <v>17.733854173256841</v>
      </c>
      <c r="D50" s="20">
        <f t="shared" si="16"/>
        <v>8459.6227684644036</v>
      </c>
      <c r="E50" s="2">
        <f t="shared" si="6"/>
        <v>1500.2171653671105</v>
      </c>
      <c r="F50" s="22">
        <f t="shared" si="13"/>
        <v>6117</v>
      </c>
      <c r="G50" s="18">
        <f t="shared" si="7"/>
        <v>1084.7798597781211</v>
      </c>
      <c r="H50" s="2">
        <f t="shared" si="14"/>
        <v>1020.4385253004793</v>
      </c>
      <c r="I50" s="2">
        <f t="shared" si="8"/>
        <v>13541.505669528749</v>
      </c>
      <c r="J50" s="2"/>
      <c r="K50" s="2">
        <f t="shared" si="9"/>
        <v>415.43730558898937</v>
      </c>
      <c r="L50" s="2">
        <f t="shared" si="17"/>
        <v>4021.2389077779189</v>
      </c>
      <c r="M50" s="2">
        <f t="shared" si="10"/>
        <v>9520.2667617508305</v>
      </c>
      <c r="N50">
        <f t="shared" si="11"/>
        <v>10</v>
      </c>
    </row>
    <row r="51" spans="1:14" ht="15" customHeight="1">
      <c r="A51" s="17">
        <v>11</v>
      </c>
      <c r="B51" s="2">
        <f t="shared" si="12"/>
        <v>13541.505669528749</v>
      </c>
      <c r="C51" s="21">
        <f t="shared" si="15"/>
        <v>18.177200527588262</v>
      </c>
      <c r="D51" s="20">
        <f t="shared" si="16"/>
        <v>8417.3246546220817</v>
      </c>
      <c r="E51" s="2">
        <f t="shared" si="6"/>
        <v>1530.0339815287819</v>
      </c>
      <c r="F51" s="22">
        <f t="shared" si="13"/>
        <v>6117</v>
      </c>
      <c r="G51" s="18">
        <f t="shared" si="7"/>
        <v>1111.8993562725739</v>
      </c>
      <c r="H51" s="2">
        <f t="shared" si="14"/>
        <v>1015.6129252146561</v>
      </c>
      <c r="I51" s="2">
        <f t="shared" si="8"/>
        <v>13445.219238470832</v>
      </c>
      <c r="J51" s="2"/>
      <c r="K51" s="2">
        <f t="shared" si="9"/>
        <v>418.13462525620798</v>
      </c>
      <c r="L51" s="2">
        <f t="shared" si="17"/>
        <v>4439.3735330341269</v>
      </c>
      <c r="M51" s="2">
        <f t="shared" si="10"/>
        <v>9005.8457054367063</v>
      </c>
      <c r="N51">
        <f t="shared" si="11"/>
        <v>11</v>
      </c>
    </row>
    <row r="52" spans="1:14" ht="15" customHeight="1">
      <c r="A52" s="17">
        <v>12</v>
      </c>
      <c r="B52" s="2">
        <f t="shared" si="12"/>
        <v>13445.219238470832</v>
      </c>
      <c r="C52" s="21">
        <f t="shared" si="15"/>
        <v>18.631630540777966</v>
      </c>
      <c r="D52" s="20">
        <f t="shared" si="16"/>
        <v>8375.2380313489721</v>
      </c>
      <c r="E52" s="2">
        <f t="shared" si="6"/>
        <v>1560.4434069116664</v>
      </c>
      <c r="F52" s="22">
        <f t="shared" si="13"/>
        <v>6117</v>
      </c>
      <c r="G52" s="18">
        <f t="shared" si="7"/>
        <v>1139.6968401793883</v>
      </c>
      <c r="H52" s="2">
        <f t="shared" si="14"/>
        <v>1008.3914428853124</v>
      </c>
      <c r="I52" s="2">
        <f t="shared" si="8"/>
        <v>13313.913841176756</v>
      </c>
      <c r="J52" s="2"/>
      <c r="K52" s="2">
        <f t="shared" si="9"/>
        <v>420.7465667322781</v>
      </c>
      <c r="L52" s="2">
        <f t="shared" si="17"/>
        <v>4860.1200997664055</v>
      </c>
      <c r="M52" s="2">
        <f t="shared" si="10"/>
        <v>8453.7937414103508</v>
      </c>
      <c r="N52">
        <f t="shared" si="11"/>
        <v>12</v>
      </c>
    </row>
    <row r="53" spans="1:14" ht="15" customHeight="1">
      <c r="A53" s="17">
        <v>13</v>
      </c>
      <c r="B53" s="2">
        <f t="shared" si="12"/>
        <v>13313.913841176756</v>
      </c>
      <c r="C53" s="21">
        <f t="shared" si="15"/>
        <v>19.097421304297413</v>
      </c>
      <c r="D53" s="20">
        <f t="shared" si="16"/>
        <v>8333.3618411922271</v>
      </c>
      <c r="E53" s="2">
        <f t="shared" si="6"/>
        <v>1591.4572196240356</v>
      </c>
      <c r="F53" s="22">
        <f t="shared" si="13"/>
        <v>6117</v>
      </c>
      <c r="G53" s="18">
        <f t="shared" si="7"/>
        <v>1168.1892611838728</v>
      </c>
      <c r="H53" s="2">
        <f t="shared" si="14"/>
        <v>998.5435380882567</v>
      </c>
      <c r="I53" s="2">
        <f t="shared" si="8"/>
        <v>13144.268118081141</v>
      </c>
      <c r="J53" s="2"/>
      <c r="K53" s="2">
        <f t="shared" si="9"/>
        <v>423.26795844016283</v>
      </c>
      <c r="L53" s="2">
        <f t="shared" si="17"/>
        <v>5283.3880582065685</v>
      </c>
      <c r="M53" s="2">
        <f t="shared" si="10"/>
        <v>7860.8800598745729</v>
      </c>
      <c r="N53">
        <f t="shared" si="11"/>
        <v>13</v>
      </c>
    </row>
    <row r="54" spans="1:14" ht="15" customHeight="1">
      <c r="A54" s="17">
        <v>14</v>
      </c>
      <c r="B54" s="2">
        <f t="shared" si="12"/>
        <v>13144.268118081141</v>
      </c>
      <c r="C54" s="21">
        <f t="shared" si="15"/>
        <v>19.574856836904846</v>
      </c>
      <c r="D54" s="20">
        <f t="shared" si="16"/>
        <v>8291.6950319862663</v>
      </c>
      <c r="E54" s="2">
        <f t="shared" si="6"/>
        <v>1623.0874318640633</v>
      </c>
      <c r="F54" s="22">
        <f t="shared" si="13"/>
        <v>6117</v>
      </c>
      <c r="G54" s="18">
        <f t="shared" si="7"/>
        <v>1197.3939927134695</v>
      </c>
      <c r="H54" s="2">
        <f t="shared" si="14"/>
        <v>985.82010885608554</v>
      </c>
      <c r="I54" s="2">
        <f t="shared" si="8"/>
        <v>12932.694234223758</v>
      </c>
      <c r="J54" s="2"/>
      <c r="K54" s="2">
        <f t="shared" si="9"/>
        <v>425.6934391505938</v>
      </c>
      <c r="L54" s="2">
        <f t="shared" si="17"/>
        <v>5709.0814973571623</v>
      </c>
      <c r="M54" s="2">
        <f t="shared" si="10"/>
        <v>7223.6127368665957</v>
      </c>
      <c r="N54">
        <f t="shared" si="11"/>
        <v>14</v>
      </c>
    </row>
    <row r="55" spans="1:14" ht="15" customHeight="1">
      <c r="A55" s="17">
        <v>15</v>
      </c>
      <c r="B55" s="2">
        <f t="shared" si="12"/>
        <v>12932.694234223758</v>
      </c>
      <c r="C55" s="21">
        <f t="shared" si="15"/>
        <v>20.064228257827466</v>
      </c>
      <c r="D55" s="20">
        <f t="shared" si="16"/>
        <v>8250.236556826334</v>
      </c>
      <c r="E55" s="2">
        <f t="shared" si="6"/>
        <v>1655.3462945723609</v>
      </c>
      <c r="F55" s="22">
        <f t="shared" si="13"/>
        <v>6117</v>
      </c>
      <c r="G55" s="18">
        <f t="shared" si="7"/>
        <v>1227.3288425313062</v>
      </c>
      <c r="H55" s="2">
        <f t="shared" si="14"/>
        <v>969.95206756678181</v>
      </c>
      <c r="I55" s="2">
        <f t="shared" si="8"/>
        <v>12675.317459259233</v>
      </c>
      <c r="J55" s="2"/>
      <c r="K55" s="2">
        <f t="shared" si="9"/>
        <v>428.01745204105464</v>
      </c>
      <c r="L55" s="2">
        <f t="shared" si="17"/>
        <v>6137.098949398217</v>
      </c>
      <c r="M55" s="2">
        <f t="shared" si="10"/>
        <v>6538.2185098610162</v>
      </c>
      <c r="N55">
        <f t="shared" si="11"/>
        <v>15</v>
      </c>
    </row>
    <row r="56" spans="1:14" ht="15" customHeight="1">
      <c r="A56" s="17">
        <v>16</v>
      </c>
      <c r="B56" s="2">
        <f t="shared" si="12"/>
        <v>12675.317459259233</v>
      </c>
      <c r="C56" s="21">
        <f t="shared" si="15"/>
        <v>20.56583396427315</v>
      </c>
      <c r="D56" s="20">
        <f t="shared" si="16"/>
        <v>8208.9853740422022</v>
      </c>
      <c r="E56" s="2">
        <f t="shared" si="6"/>
        <v>1688.2463021769863</v>
      </c>
      <c r="F56" s="22">
        <f t="shared" si="13"/>
        <v>6117</v>
      </c>
      <c r="G56" s="18">
        <f t="shared" si="7"/>
        <v>1258.0120635945887</v>
      </c>
      <c r="H56" s="2">
        <f t="shared" si="14"/>
        <v>950.64880944444246</v>
      </c>
      <c r="I56" s="2">
        <f t="shared" si="8"/>
        <v>12367.954205109087</v>
      </c>
      <c r="J56" s="2"/>
      <c r="K56" s="2">
        <f t="shared" si="9"/>
        <v>430.23423858239767</v>
      </c>
      <c r="L56" s="2">
        <f t="shared" si="17"/>
        <v>6567.3331879806146</v>
      </c>
      <c r="M56" s="2">
        <f t="shared" si="10"/>
        <v>5800.621017128472</v>
      </c>
      <c r="N56">
        <f t="shared" si="11"/>
        <v>16</v>
      </c>
    </row>
    <row r="57" spans="1:14" ht="15" customHeight="1">
      <c r="A57" s="17">
        <v>17</v>
      </c>
      <c r="B57" s="2">
        <f t="shared" si="12"/>
        <v>12367.954205109087</v>
      </c>
      <c r="C57" s="21">
        <f t="shared" si="15"/>
        <v>21.079979813379978</v>
      </c>
      <c r="D57" s="20">
        <f t="shared" si="16"/>
        <v>8167.9404471719909</v>
      </c>
      <c r="E57" s="2">
        <f t="shared" si="6"/>
        <v>1721.800197432754</v>
      </c>
      <c r="F57" s="22">
        <f t="shared" si="13"/>
        <v>6117</v>
      </c>
      <c r="G57" s="18">
        <f t="shared" si="7"/>
        <v>1289.4623651844531</v>
      </c>
      <c r="H57" s="2">
        <f t="shared" si="14"/>
        <v>927.59656538318143</v>
      </c>
      <c r="I57" s="2">
        <f t="shared" si="8"/>
        <v>12006.088405307815</v>
      </c>
      <c r="J57" s="2"/>
      <c r="K57" s="2">
        <f t="shared" si="9"/>
        <v>432.33783224830086</v>
      </c>
      <c r="L57" s="2">
        <f t="shared" si="17"/>
        <v>6999.6710202289159</v>
      </c>
      <c r="M57" s="2">
        <f t="shared" si="10"/>
        <v>5006.4173850788993</v>
      </c>
      <c r="N57">
        <f t="shared" si="11"/>
        <v>17</v>
      </c>
    </row>
    <row r="58" spans="1:14" ht="15" customHeight="1">
      <c r="A58" s="17">
        <v>18</v>
      </c>
      <c r="B58" s="2">
        <f t="shared" si="12"/>
        <v>12006.088405307815</v>
      </c>
      <c r="C58" s="21">
        <f t="shared" si="15"/>
        <v>21.606979308714475</v>
      </c>
      <c r="D58" s="20">
        <f t="shared" si="16"/>
        <v>8127.1007449361305</v>
      </c>
      <c r="E58" s="2">
        <f t="shared" si="6"/>
        <v>1756.0209763567298</v>
      </c>
      <c r="F58" s="22">
        <f t="shared" si="13"/>
        <v>6117</v>
      </c>
      <c r="G58" s="18">
        <f t="shared" si="7"/>
        <v>1321.6989243140645</v>
      </c>
      <c r="H58" s="2">
        <f t="shared" si="14"/>
        <v>900.45663039808608</v>
      </c>
      <c r="I58" s="2">
        <f t="shared" si="8"/>
        <v>11584.846111391837</v>
      </c>
      <c r="J58" s="2"/>
      <c r="K58" s="2">
        <f t="shared" si="9"/>
        <v>434.32205204266529</v>
      </c>
      <c r="L58" s="2">
        <f t="shared" si="17"/>
        <v>7433.9930722715817</v>
      </c>
      <c r="M58" s="2">
        <f t="shared" si="10"/>
        <v>4150.8530391202548</v>
      </c>
      <c r="N58">
        <f t="shared" si="11"/>
        <v>18</v>
      </c>
    </row>
    <row r="59" spans="1:14" ht="15" customHeight="1">
      <c r="A59" s="17">
        <v>19</v>
      </c>
      <c r="B59" s="2">
        <f t="shared" si="12"/>
        <v>11584.846111391837</v>
      </c>
      <c r="C59" s="21">
        <f t="shared" si="15"/>
        <v>22.147153791432334</v>
      </c>
      <c r="D59" s="20">
        <f t="shared" si="16"/>
        <v>8086.4652412114501</v>
      </c>
      <c r="E59" s="2">
        <f t="shared" si="6"/>
        <v>1790.9218932618196</v>
      </c>
      <c r="F59" s="22">
        <f t="shared" si="13"/>
        <v>6117</v>
      </c>
      <c r="G59" s="18">
        <f t="shared" si="7"/>
        <v>1354.741397421916</v>
      </c>
      <c r="H59" s="2">
        <f t="shared" si="14"/>
        <v>868.86345835438772</v>
      </c>
      <c r="I59" s="2">
        <f t="shared" si="8"/>
        <v>11098.968172324308</v>
      </c>
      <c r="J59" s="2"/>
      <c r="K59" s="2">
        <f t="shared" si="9"/>
        <v>436.18049583990364</v>
      </c>
      <c r="L59" s="2">
        <f t="shared" si="17"/>
        <v>7870.1735681114851</v>
      </c>
      <c r="M59" s="2">
        <f t="shared" si="10"/>
        <v>3228.7946042128233</v>
      </c>
      <c r="N59">
        <f t="shared" si="11"/>
        <v>19</v>
      </c>
    </row>
    <row r="60" spans="1:14" ht="15" customHeight="1">
      <c r="A60" s="17">
        <v>20</v>
      </c>
      <c r="B60" s="2">
        <f t="shared" si="12"/>
        <v>11098.968172324308</v>
      </c>
      <c r="C60" s="21">
        <f t="shared" si="15"/>
        <v>22.700832636218141</v>
      </c>
      <c r="D60" s="20">
        <f t="shared" si="16"/>
        <v>8046.0329150053931</v>
      </c>
      <c r="E60" s="2">
        <f t="shared" si="6"/>
        <v>1826.5164658903982</v>
      </c>
      <c r="F60" s="22">
        <f t="shared" si="13"/>
        <v>6117</v>
      </c>
      <c r="G60" s="18">
        <f t="shared" si="7"/>
        <v>1388.6099323574638</v>
      </c>
      <c r="H60" s="2">
        <f t="shared" si="14"/>
        <v>832.42261292432306</v>
      </c>
      <c r="I60" s="2">
        <f t="shared" si="8"/>
        <v>10542.780852891168</v>
      </c>
      <c r="J60" s="2"/>
      <c r="K60" s="2">
        <f t="shared" si="9"/>
        <v>437.90653353293442</v>
      </c>
      <c r="L60" s="2">
        <f t="shared" si="17"/>
        <v>8308.0801016444202</v>
      </c>
      <c r="M60" s="2">
        <f t="shared" si="10"/>
        <v>2234.700751246748</v>
      </c>
      <c r="N60">
        <f t="shared" si="11"/>
        <v>20</v>
      </c>
    </row>
    <row r="61" spans="1:14" ht="15" customHeight="1">
      <c r="A61" s="17">
        <v>21</v>
      </c>
      <c r="B61" s="2">
        <f t="shared" si="12"/>
        <v>10542.780852891168</v>
      </c>
      <c r="C61" s="21">
        <f t="shared" si="15"/>
        <v>23.268353452123591</v>
      </c>
      <c r="D61" s="20">
        <f t="shared" si="16"/>
        <v>8005.8027504303664</v>
      </c>
      <c r="E61" s="2">
        <f t="shared" si="6"/>
        <v>1862.8184806499696</v>
      </c>
      <c r="F61" s="22">
        <f t="shared" si="13"/>
        <v>6117</v>
      </c>
      <c r="G61" s="18">
        <f t="shared" si="7"/>
        <v>1423.3251806664002</v>
      </c>
      <c r="H61" s="2">
        <f t="shared" si="14"/>
        <v>790.70856396683757</v>
      </c>
      <c r="I61" s="2">
        <f t="shared" si="8"/>
        <v>9910.1642361916056</v>
      </c>
      <c r="J61" s="2"/>
      <c r="K61" s="2">
        <f t="shared" si="9"/>
        <v>439.49329998356939</v>
      </c>
      <c r="L61" s="2">
        <f t="shared" si="17"/>
        <v>8747.5734016279894</v>
      </c>
      <c r="M61" s="2">
        <f t="shared" si="10"/>
        <v>1162.5908345636162</v>
      </c>
      <c r="N61">
        <f t="shared" si="11"/>
        <v>21</v>
      </c>
    </row>
    <row r="62" spans="1:14" ht="15" customHeight="1">
      <c r="A62" s="17">
        <v>22</v>
      </c>
      <c r="B62" s="2">
        <f t="shared" si="12"/>
        <v>9910.1642361916056</v>
      </c>
      <c r="C62" s="21">
        <f t="shared" si="15"/>
        <v>23.850062288426678</v>
      </c>
      <c r="D62" s="20">
        <f t="shared" si="16"/>
        <v>7965.7737366782148</v>
      </c>
      <c r="E62" s="2">
        <f t="shared" si="6"/>
        <v>1899.8419979528876</v>
      </c>
      <c r="F62" s="22">
        <f t="shared" si="13"/>
        <v>6117</v>
      </c>
      <c r="G62" s="18">
        <f t="shared" si="7"/>
        <v>1458.9083101830599</v>
      </c>
      <c r="H62" s="2">
        <f t="shared" si="14"/>
        <v>743.2623177143704</v>
      </c>
      <c r="I62" s="2">
        <f t="shared" si="8"/>
        <v>9194.5182437229159</v>
      </c>
      <c r="J62" s="2"/>
      <c r="K62" s="2">
        <f t="shared" si="9"/>
        <v>440.93368776982766</v>
      </c>
      <c r="L62" s="2">
        <f t="shared" si="17"/>
        <v>9188.5070893978173</v>
      </c>
      <c r="M62" s="2">
        <f t="shared" si="10"/>
        <v>6.011154325098687</v>
      </c>
      <c r="N62">
        <f t="shared" si="11"/>
        <v>22</v>
      </c>
    </row>
    <row r="63" spans="1:14" ht="15" customHeight="1">
      <c r="A63" s="17">
        <v>23</v>
      </c>
      <c r="B63" s="2">
        <f t="shared" si="12"/>
        <v>9194.5182437229159</v>
      </c>
      <c r="C63" s="21">
        <f t="shared" si="15"/>
        <v>24.446313845637341</v>
      </c>
      <c r="D63" s="20">
        <f t="shared" si="16"/>
        <v>7925.9448679948237</v>
      </c>
      <c r="E63" s="2">
        <f t="shared" si="6"/>
        <v>1937.6013576622008</v>
      </c>
      <c r="F63" s="22">
        <f t="shared" si="13"/>
        <v>6117</v>
      </c>
      <c r="G63" s="18">
        <f t="shared" si="7"/>
        <v>1495.381017937636</v>
      </c>
      <c r="H63" s="2">
        <f t="shared" si="14"/>
        <v>689.58886827921867</v>
      </c>
      <c r="I63" s="2">
        <f t="shared" si="8"/>
        <v>8388.7260940644992</v>
      </c>
      <c r="J63" s="2"/>
      <c r="K63" s="2">
        <f t="shared" si="9"/>
        <v>442.22033972456484</v>
      </c>
      <c r="L63" s="2">
        <f t="shared" si="17"/>
        <v>9630.7274291223821</v>
      </c>
      <c r="M63" s="2">
        <f t="shared" si="10"/>
        <v>-1242.0013350578829</v>
      </c>
      <c r="N63">
        <f t="shared" si="11"/>
        <v>23</v>
      </c>
    </row>
    <row r="64" spans="1:14" ht="15" customHeight="1">
      <c r="A64" s="17">
        <v>24</v>
      </c>
      <c r="B64" s="2">
        <f t="shared" si="12"/>
        <v>8388.7260940644992</v>
      </c>
      <c r="C64" s="21">
        <f t="shared" si="15"/>
        <v>25.057471691778272</v>
      </c>
      <c r="D64" s="20">
        <f t="shared" si="16"/>
        <v>7886.3151436548496</v>
      </c>
      <c r="E64" s="2">
        <f t="shared" si="6"/>
        <v>1976.111184645737</v>
      </c>
      <c r="F64" s="22">
        <f t="shared" si="13"/>
        <v>6117</v>
      </c>
      <c r="G64" s="18">
        <f t="shared" si="7"/>
        <v>1532.7655433860768</v>
      </c>
      <c r="H64" s="2">
        <f t="shared" si="14"/>
        <v>629.15445705483739</v>
      </c>
      <c r="I64" s="2">
        <f t="shared" si="8"/>
        <v>7485.1150077332604</v>
      </c>
      <c r="J64" s="2"/>
      <c r="K64" s="2">
        <f t="shared" si="9"/>
        <v>443.34564125966017</v>
      </c>
      <c r="L64" s="2">
        <f t="shared" si="17"/>
        <v>10074.073070382043</v>
      </c>
      <c r="M64" s="2">
        <f t="shared" si="10"/>
        <v>-2588.9580626487823</v>
      </c>
      <c r="N64">
        <f t="shared" si="11"/>
        <v>24</v>
      </c>
    </row>
    <row r="65" spans="1:18" ht="15" customHeight="1">
      <c r="A65" s="17">
        <v>25</v>
      </c>
      <c r="B65" s="2">
        <f t="shared" si="12"/>
        <v>7485.1150077332604</v>
      </c>
      <c r="C65" s="21">
        <f t="shared" si="15"/>
        <v>25.683908484072727</v>
      </c>
      <c r="D65" s="20">
        <f t="shared" si="16"/>
        <v>7846.8835679365757</v>
      </c>
      <c r="E65" s="2">
        <f t="shared" si="6"/>
        <v>2015.3863944405709</v>
      </c>
      <c r="F65" s="22">
        <f t="shared" si="13"/>
        <v>6117</v>
      </c>
      <c r="G65" s="18">
        <f t="shared" si="7"/>
        <v>1571.0846819707288</v>
      </c>
      <c r="H65" s="2">
        <f t="shared" si="14"/>
        <v>561.38362557999449</v>
      </c>
      <c r="I65" s="2">
        <f t="shared" si="8"/>
        <v>6475.4139513425262</v>
      </c>
      <c r="J65" s="2"/>
      <c r="K65" s="2">
        <f t="shared" si="9"/>
        <v>444.30171246984219</v>
      </c>
      <c r="L65" s="2">
        <f t="shared" si="17"/>
        <v>10518.374782851884</v>
      </c>
      <c r="M65" s="2">
        <f t="shared" si="10"/>
        <v>-4042.9608315093583</v>
      </c>
      <c r="N65">
        <f t="shared" si="11"/>
        <v>25</v>
      </c>
    </row>
    <row r="66" spans="1:18" ht="15" customHeight="1">
      <c r="A66" s="17"/>
      <c r="B66" s="32"/>
      <c r="G66" s="37" t="s">
        <v>89</v>
      </c>
      <c r="H66" s="29"/>
      <c r="J66" s="38"/>
      <c r="L66" s="39"/>
      <c r="M66" s="4" t="s">
        <v>62</v>
      </c>
      <c r="N66" s="32"/>
      <c r="P66" s="2"/>
      <c r="Q66" s="4"/>
      <c r="R66" s="5"/>
    </row>
    <row r="67" spans="1:18" ht="15" customHeight="1">
      <c r="A67" s="49" t="s">
        <v>147</v>
      </c>
      <c r="B67" s="32"/>
      <c r="G67" s="37"/>
      <c r="H67" s="29"/>
      <c r="J67" s="38"/>
      <c r="L67" s="39"/>
      <c r="M67" s="4"/>
      <c r="N67" s="32"/>
      <c r="P67" s="2"/>
      <c r="Q67" s="4"/>
      <c r="R67" s="5"/>
    </row>
    <row r="68" spans="1:18" ht="15" customHeight="1">
      <c r="A68" t="s">
        <v>206</v>
      </c>
      <c r="B68" s="32"/>
      <c r="G68" s="37"/>
      <c r="H68" s="29"/>
      <c r="J68" s="38"/>
      <c r="L68" s="39"/>
      <c r="M68" s="4"/>
      <c r="N68" s="32"/>
      <c r="P68" s="2"/>
      <c r="Q68" s="4"/>
      <c r="R68" s="5"/>
    </row>
    <row r="69" spans="1:18" ht="15" customHeight="1">
      <c r="A69" t="s">
        <v>235</v>
      </c>
      <c r="B69" s="32"/>
      <c r="G69" s="37"/>
      <c r="H69" s="29"/>
      <c r="J69" s="38"/>
      <c r="L69" s="39"/>
      <c r="M69" s="4"/>
      <c r="N69" s="32"/>
      <c r="P69" s="2"/>
      <c r="Q69" s="4"/>
      <c r="R69" s="5"/>
    </row>
    <row r="70" spans="1:18" ht="15" customHeight="1">
      <c r="A70" s="49"/>
      <c r="B70" s="32"/>
      <c r="G70" s="37"/>
      <c r="H70" s="29"/>
      <c r="J70" s="38"/>
      <c r="L70" s="39"/>
      <c r="M70" s="4"/>
      <c r="N70" s="32"/>
      <c r="P70" s="2"/>
      <c r="Q70" s="4"/>
      <c r="R70" s="5"/>
    </row>
    <row r="71" spans="1:18" ht="15" customHeight="1">
      <c r="A71" s="15" t="s">
        <v>237</v>
      </c>
      <c r="B71" s="32"/>
      <c r="G71" s="37"/>
      <c r="H71" s="29"/>
      <c r="J71" s="38"/>
      <c r="L71" s="39"/>
      <c r="M71" s="4"/>
      <c r="N71" s="32"/>
      <c r="P71" s="2"/>
      <c r="Q71" s="4"/>
      <c r="R71" s="5"/>
    </row>
    <row r="72" spans="1:18" ht="15" customHeight="1">
      <c r="B72" s="32"/>
      <c r="G72" s="37"/>
      <c r="H72" s="29"/>
      <c r="J72" s="38"/>
      <c r="L72" s="39"/>
      <c r="M72" s="4"/>
      <c r="N72" s="32"/>
      <c r="P72" s="2"/>
      <c r="Q72" s="4"/>
      <c r="R72" s="5"/>
    </row>
    <row r="73" spans="1:18" ht="15" customHeight="1">
      <c r="A73" t="s">
        <v>236</v>
      </c>
      <c r="B73" s="32"/>
      <c r="G73" s="37"/>
      <c r="H73" s="29"/>
      <c r="J73" s="38"/>
      <c r="L73" s="39"/>
      <c r="M73" s="4"/>
      <c r="N73" s="32"/>
      <c r="P73" s="2"/>
      <c r="Q73" s="4"/>
      <c r="R73" s="5"/>
    </row>
    <row r="74" spans="1:18" ht="15" customHeight="1">
      <c r="A74" s="17"/>
      <c r="B74" s="32"/>
      <c r="G74" s="37"/>
      <c r="H74" s="29"/>
      <c r="J74" s="38"/>
      <c r="L74" s="39"/>
      <c r="M74" s="4"/>
      <c r="N74" s="32"/>
      <c r="P74" s="2"/>
      <c r="Q74" s="4"/>
      <c r="R74" s="5"/>
    </row>
    <row r="75" spans="1:18" ht="15" customHeight="1">
      <c r="A75" s="17"/>
      <c r="B75" s="32"/>
      <c r="C75" s="37"/>
      <c r="D75" s="37"/>
      <c r="E75" s="37"/>
      <c r="F75" s="37"/>
      <c r="G75" s="37"/>
      <c r="H75" s="29"/>
      <c r="I75" s="38"/>
      <c r="J75" s="38"/>
      <c r="K75" s="39"/>
      <c r="L75" s="39"/>
      <c r="M75" s="32"/>
      <c r="N75" s="32"/>
      <c r="P75" s="2"/>
      <c r="Q75" s="18"/>
    </row>
    <row r="76" spans="1:18" ht="15" customHeight="1">
      <c r="A76" s="24" t="s">
        <v>65</v>
      </c>
      <c r="H76" s="16"/>
    </row>
    <row r="77" spans="1:18" ht="15" customHeight="1">
      <c r="A77" t="s">
        <v>109</v>
      </c>
    </row>
    <row r="78" spans="1:18" ht="15" customHeight="1">
      <c r="A78" t="s">
        <v>110</v>
      </c>
    </row>
    <row r="79" spans="1:18" ht="15" customHeight="1">
      <c r="A79" t="s">
        <v>111</v>
      </c>
    </row>
    <row r="80" spans="1:18" ht="15" customHeight="1">
      <c r="A80" t="s">
        <v>112</v>
      </c>
    </row>
    <row r="81" spans="1:3" ht="15" customHeight="1">
      <c r="A81" t="s">
        <v>106</v>
      </c>
    </row>
    <row r="82" spans="1:3" ht="15" customHeight="1">
      <c r="A82" t="s">
        <v>108</v>
      </c>
    </row>
    <row r="83" spans="1:3" ht="15" customHeight="1">
      <c r="A83" t="s">
        <v>107</v>
      </c>
    </row>
    <row r="84" spans="1:3" ht="15" customHeight="1">
      <c r="A84" t="s">
        <v>94</v>
      </c>
    </row>
    <row r="85" spans="1:3" ht="15" customHeight="1">
      <c r="A85" t="s">
        <v>91</v>
      </c>
    </row>
    <row r="86" spans="1:3" ht="15" customHeight="1">
      <c r="B86" t="s">
        <v>113</v>
      </c>
    </row>
    <row r="87" spans="1:3" ht="15" customHeight="1">
      <c r="A87" t="s">
        <v>114</v>
      </c>
    </row>
    <row r="88" spans="1:3" ht="15" customHeight="1"/>
    <row r="89" spans="1:3" ht="15" customHeight="1"/>
    <row r="90" spans="1:3" ht="15" customHeight="1">
      <c r="A90" s="5" t="s">
        <v>47</v>
      </c>
    </row>
    <row r="91" spans="1:3" ht="15" customHeight="1">
      <c r="B91" t="s">
        <v>48</v>
      </c>
    </row>
    <row r="92" spans="1:3" ht="15" customHeight="1">
      <c r="B92" t="s">
        <v>49</v>
      </c>
    </row>
    <row r="93" spans="1:3" ht="15" customHeight="1">
      <c r="B93" t="s">
        <v>90</v>
      </c>
    </row>
    <row r="94" spans="1:3" ht="15" customHeight="1">
      <c r="B94" s="9" t="s">
        <v>68</v>
      </c>
    </row>
    <row r="95" spans="1:3" ht="15" customHeight="1">
      <c r="B95" s="9"/>
      <c r="C95" t="s">
        <v>41</v>
      </c>
    </row>
    <row r="96" spans="1:3" ht="15" customHeight="1">
      <c r="B96" t="s">
        <v>42</v>
      </c>
    </row>
    <row r="97" spans="1:1" ht="15" customHeight="1">
      <c r="A97" t="s">
        <v>50</v>
      </c>
    </row>
    <row r="98" spans="1:1" ht="15" customHeight="1">
      <c r="A98" t="s">
        <v>51</v>
      </c>
    </row>
    <row r="99" spans="1:1" ht="15" customHeight="1"/>
    <row r="100" spans="1:1" ht="15" customHeight="1"/>
    <row r="101" spans="1:1" ht="15" customHeight="1"/>
    <row r="102" spans="1:1" ht="15" customHeight="1"/>
    <row r="103" spans="1:1" ht="15" customHeight="1"/>
    <row r="104" spans="1:1" ht="15" customHeight="1"/>
    <row r="105" spans="1:1" ht="15" customHeight="1"/>
    <row r="106" spans="1:1" ht="15" customHeight="1"/>
    <row r="107" spans="1:1" ht="15" customHeight="1"/>
  </sheetData>
  <mergeCells count="3">
    <mergeCell ref="K39:L39"/>
    <mergeCell ref="C15:G15"/>
    <mergeCell ref="H15:I15"/>
  </mergeCells>
  <conditionalFormatting sqref="M41:M65">
    <cfRule type="cellIs" dxfId="1" priority="1" operator="lessThan">
      <formula>0</formula>
    </cfRule>
    <cfRule type="cellIs" dxfId="0" priority="2" operator="lessThan">
      <formula>0</formula>
    </cfRule>
  </conditionalFormatting>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Pred Prod</vt:lpstr>
      <vt:lpstr>Elec &amp; Gas Data</vt:lpstr>
      <vt:lpstr>Prod &amp; Usage Graphs</vt:lpstr>
      <vt:lpstr>Utility Graphs</vt:lpstr>
      <vt:lpstr>Annual Graphs</vt:lpstr>
      <vt:lpstr>Cost &amp; Payback</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2024-09-26T02:47:15Z</dcterms:modified>
</cp:coreProperties>
</file>